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0" yWindow="0" windowWidth="10800" windowHeight="10215" tabRatio="812"/>
  </bookViews>
  <sheets>
    <sheet name="Kluczowe informacje_Key data" sheetId="24" r:id="rId1"/>
    <sheet name="RZiS_P&amp;L" sheetId="25" r:id="rId2"/>
    <sheet name="RZiS B. Detaliczna_P&amp;L Retail" sheetId="26" r:id="rId3"/>
    <sheet name="RZiS B. Korp._P&amp;L Corporate" sheetId="27" r:id="rId4"/>
    <sheet name="Wynik odsetkowy_Interest income" sheetId="28" r:id="rId5"/>
    <sheet name="Wynik prowizyjny_F&amp;C income" sheetId="29" r:id="rId6"/>
    <sheet name="Pozost. przychodzy_Other income" sheetId="30" r:id="rId7"/>
    <sheet name="Bilans_BS" sheetId="31" r:id="rId8"/>
    <sheet name="Kredyty_loans" sheetId="32" r:id="rId9"/>
    <sheet name="Jakość portfela_Portf. quality" sheetId="33" r:id="rId10"/>
    <sheet name="Aktywa finans_Financial assets" sheetId="34" r:id="rId11"/>
    <sheet name="Depozyty i zobow_Deposits &amp;liab" sheetId="35" r:id="rId12"/>
    <sheet name="Współcz wypł__CAR_GROUP" sheetId="37" r:id="rId13"/>
    <sheet name="Współcz wypł_CAR_SOLO" sheetId="38" r:id="rId14"/>
    <sheet name="Pozostałe informacje_other info" sheetId="36" r:id="rId15"/>
  </sheets>
  <externalReferences>
    <externalReference r:id="rId16"/>
  </externalReferences>
  <definedNames>
    <definedName name="_xlnm.Print_Area" localSheetId="10">'Aktywa finans_Financial assets'!$A$1:$X$20</definedName>
    <definedName name="_xlnm.Print_Area" localSheetId="7">Bilans_BS!$A$1:$X$52</definedName>
    <definedName name="_xlnm.Print_Area" localSheetId="11">'Depozyty i zobow_Deposits &amp;liab'!$A$1:$X$42</definedName>
    <definedName name="_xlnm.Print_Area" localSheetId="9">'Jakość portfela_Portf. quality'!$A$1:$X$38</definedName>
    <definedName name="_xlnm.Print_Area" localSheetId="0">'Kluczowe informacje_Key data'!$A$1:$X$55</definedName>
    <definedName name="_xlnm.Print_Area" localSheetId="8">Kredyty_loans!$A$1:$X$74</definedName>
    <definedName name="_xlnm.Print_Area" localSheetId="6">'Pozost. przychodzy_Other income'!$A$1:$X$29</definedName>
    <definedName name="_xlnm.Print_Area" localSheetId="14">'Pozostałe informacje_other info'!$A$1:$X$19</definedName>
    <definedName name="_xlnm.Print_Area" localSheetId="2">'RZiS B. Detaliczna_P&amp;L Retail'!$A$1:$X$18</definedName>
    <definedName name="_xlnm.Print_Area" localSheetId="3">'RZiS B. Korp._P&amp;L Corporate'!$A$1:$X$18</definedName>
    <definedName name="_xlnm.Print_Area" localSheetId="1">'RZiS_P&amp;L'!$A$1:$X$27</definedName>
    <definedName name="_xlnm.Print_Area" localSheetId="12">'Współcz wypł__CAR_GROUP'!$A$1:$X$106</definedName>
    <definedName name="_xlnm.Print_Area" localSheetId="13">'Współcz wypł_CAR_SOLO'!$A$1:$X$102</definedName>
    <definedName name="_xlnm.Print_Area" localSheetId="4">'Wynik odsetkowy_Interest income'!$A$1:$X$20</definedName>
    <definedName name="_xlnm.Print_Area" localSheetId="5">'Wynik prowizyjny_F&amp;C income'!$A$1:$X$25</definedName>
  </definedNames>
  <calcPr calcId="145621"/>
</workbook>
</file>

<file path=xl/calcChain.xml><?xml version="1.0" encoding="utf-8"?>
<calcChain xmlns="http://schemas.openxmlformats.org/spreadsheetml/2006/main">
  <c r="X52" i="32" l="1"/>
  <c r="X44" i="32"/>
  <c r="X41" i="32"/>
  <c r="X51" i="32" s="1"/>
  <c r="X34" i="32"/>
  <c r="X26" i="32"/>
  <c r="X33" i="32" s="1"/>
  <c r="F94" i="38" l="1"/>
  <c r="E94" i="38"/>
  <c r="D94" i="38"/>
  <c r="C94" i="38"/>
  <c r="X90" i="38"/>
  <c r="W90" i="38"/>
  <c r="V90" i="38"/>
  <c r="U90" i="38"/>
  <c r="T90" i="38"/>
  <c r="S90" i="38"/>
  <c r="R90" i="38"/>
  <c r="Q90" i="38"/>
  <c r="P90" i="38"/>
  <c r="O90" i="38"/>
  <c r="N90" i="38"/>
  <c r="M90" i="38"/>
  <c r="L90" i="38"/>
  <c r="K90" i="38"/>
  <c r="J90" i="38"/>
  <c r="I90" i="38"/>
  <c r="H90" i="38"/>
  <c r="G90" i="38"/>
  <c r="F90" i="38"/>
  <c r="E90" i="38"/>
  <c r="D90" i="38"/>
  <c r="C90" i="38"/>
  <c r="X89" i="38"/>
  <c r="W89" i="38"/>
  <c r="V89" i="38"/>
  <c r="U89" i="38"/>
  <c r="T89" i="38"/>
  <c r="S89" i="38"/>
  <c r="R89" i="38"/>
  <c r="Q89" i="38"/>
  <c r="P89" i="38"/>
  <c r="O89" i="38"/>
  <c r="N89" i="38"/>
  <c r="M89" i="38"/>
  <c r="L89" i="38"/>
  <c r="K89" i="38"/>
  <c r="J89" i="38"/>
  <c r="I89" i="38"/>
  <c r="H89" i="38"/>
  <c r="G89" i="38"/>
  <c r="F89" i="38"/>
  <c r="E89" i="38"/>
  <c r="D89" i="38"/>
  <c r="C89" i="38"/>
  <c r="X88" i="38"/>
  <c r="W88" i="38"/>
  <c r="V88" i="38"/>
  <c r="U88" i="38"/>
  <c r="T88" i="38"/>
  <c r="S88" i="38"/>
  <c r="R88" i="38"/>
  <c r="Q88" i="38"/>
  <c r="P88" i="38"/>
  <c r="O88" i="38"/>
  <c r="N88" i="38"/>
  <c r="M88" i="38"/>
  <c r="L88" i="38"/>
  <c r="K88" i="38"/>
  <c r="J88" i="38"/>
  <c r="I88" i="38"/>
  <c r="H88" i="38"/>
  <c r="G88" i="38"/>
  <c r="F88" i="38"/>
  <c r="E88" i="38"/>
  <c r="D88" i="38"/>
  <c r="C88" i="38"/>
  <c r="X87" i="38"/>
  <c r="W87" i="38"/>
  <c r="V87" i="38"/>
  <c r="U87" i="38"/>
  <c r="T87" i="38"/>
  <c r="S87" i="38"/>
  <c r="R87" i="38"/>
  <c r="Q87" i="38"/>
  <c r="P87" i="38"/>
  <c r="O87" i="38"/>
  <c r="N87" i="38"/>
  <c r="M87" i="38"/>
  <c r="L87" i="38"/>
  <c r="K87" i="38"/>
  <c r="J87" i="38"/>
  <c r="I87" i="38"/>
  <c r="H87" i="38"/>
  <c r="G87" i="38"/>
  <c r="F87" i="38"/>
  <c r="E87" i="38"/>
  <c r="D87" i="38"/>
  <c r="C87" i="38"/>
  <c r="X86" i="38"/>
  <c r="W86" i="38"/>
  <c r="V86" i="38"/>
  <c r="U86" i="38"/>
  <c r="T86" i="38"/>
  <c r="S86" i="38"/>
  <c r="R86" i="38"/>
  <c r="Q86" i="38"/>
  <c r="P86" i="38"/>
  <c r="O86" i="38"/>
  <c r="N86" i="38"/>
  <c r="M86" i="38"/>
  <c r="L86" i="38"/>
  <c r="K86" i="38"/>
  <c r="J86" i="38"/>
  <c r="I86" i="38"/>
  <c r="H86" i="38"/>
  <c r="G86" i="38"/>
  <c r="F86" i="38"/>
  <c r="E86" i="38"/>
  <c r="D86" i="38"/>
  <c r="C86" i="38"/>
  <c r="X85" i="38"/>
  <c r="W85" i="38"/>
  <c r="V85" i="38"/>
  <c r="X84" i="38"/>
  <c r="W84" i="38"/>
  <c r="W94" i="38" s="1"/>
  <c r="V84" i="38"/>
  <c r="U84" i="38"/>
  <c r="U94" i="38" s="1"/>
  <c r="T84" i="38"/>
  <c r="S84" i="38"/>
  <c r="S94" i="38" s="1"/>
  <c r="R84" i="38"/>
  <c r="Q84" i="38"/>
  <c r="Q94" i="38" s="1"/>
  <c r="P84" i="38"/>
  <c r="O84" i="38"/>
  <c r="O94" i="38" s="1"/>
  <c r="N84" i="38"/>
  <c r="M84" i="38"/>
  <c r="M94" i="38" s="1"/>
  <c r="L84" i="38"/>
  <c r="K84" i="38"/>
  <c r="K94" i="38" s="1"/>
  <c r="J84" i="38"/>
  <c r="I84" i="38"/>
  <c r="I94" i="38" s="1"/>
  <c r="H84" i="38"/>
  <c r="G84" i="38"/>
  <c r="G94" i="38" s="1"/>
  <c r="F84" i="38"/>
  <c r="E84" i="38"/>
  <c r="D84" i="38"/>
  <c r="C84" i="38"/>
  <c r="X70" i="38"/>
  <c r="W70" i="38"/>
  <c r="V70" i="38"/>
  <c r="U70" i="38"/>
  <c r="T70" i="38"/>
  <c r="S70" i="38"/>
  <c r="R70" i="38"/>
  <c r="Q70" i="38"/>
  <c r="P70" i="38"/>
  <c r="O70" i="38"/>
  <c r="N70" i="38"/>
  <c r="M70" i="38"/>
  <c r="L70" i="38"/>
  <c r="K70" i="38"/>
  <c r="J70" i="38"/>
  <c r="I70" i="38"/>
  <c r="H70" i="38"/>
  <c r="G70" i="38"/>
  <c r="F70" i="38"/>
  <c r="E70" i="38"/>
  <c r="D70" i="38"/>
  <c r="C70" i="38"/>
  <c r="X66" i="38"/>
  <c r="W66" i="38"/>
  <c r="V66" i="38"/>
  <c r="U66" i="38"/>
  <c r="T66" i="38"/>
  <c r="S66" i="38"/>
  <c r="R66" i="38"/>
  <c r="Q66" i="38"/>
  <c r="P66" i="38"/>
  <c r="O66" i="38"/>
  <c r="N66" i="38"/>
  <c r="M66" i="38"/>
  <c r="L66" i="38"/>
  <c r="K66" i="38"/>
  <c r="J66" i="38"/>
  <c r="I66" i="38"/>
  <c r="H66" i="38"/>
  <c r="G66" i="38"/>
  <c r="F66" i="38"/>
  <c r="E66" i="38"/>
  <c r="D66" i="38"/>
  <c r="C66" i="38"/>
  <c r="X65" i="38"/>
  <c r="W65" i="38"/>
  <c r="V65" i="38"/>
  <c r="U65" i="38"/>
  <c r="T65" i="38"/>
  <c r="S65" i="38"/>
  <c r="R65" i="38"/>
  <c r="Q65" i="38"/>
  <c r="P65" i="38"/>
  <c r="O65" i="38"/>
  <c r="N65" i="38"/>
  <c r="M65" i="38"/>
  <c r="L65" i="38"/>
  <c r="K65" i="38"/>
  <c r="J65" i="38"/>
  <c r="I65" i="38"/>
  <c r="H65" i="38"/>
  <c r="G65" i="38"/>
  <c r="F65" i="38"/>
  <c r="E65" i="38"/>
  <c r="D65" i="38"/>
  <c r="C65" i="38"/>
  <c r="X57" i="38"/>
  <c r="W57" i="38"/>
  <c r="V57" i="38"/>
  <c r="U57" i="38"/>
  <c r="T57" i="38"/>
  <c r="S57" i="38"/>
  <c r="R57" i="38"/>
  <c r="Q57" i="38"/>
  <c r="P57" i="38"/>
  <c r="O57" i="38"/>
  <c r="N57" i="38"/>
  <c r="M57" i="38"/>
  <c r="L57" i="38"/>
  <c r="K57" i="38"/>
  <c r="J57" i="38"/>
  <c r="I57" i="38"/>
  <c r="H57" i="38"/>
  <c r="G57" i="38"/>
  <c r="F57" i="38"/>
  <c r="E57" i="38"/>
  <c r="D57" i="38"/>
  <c r="C57" i="38"/>
  <c r="X55" i="38"/>
  <c r="X81" i="38" s="1"/>
  <c r="W55" i="38"/>
  <c r="W81" i="38" s="1"/>
  <c r="V55" i="38"/>
  <c r="V81" i="38" s="1"/>
  <c r="U55" i="38"/>
  <c r="U81" i="38" s="1"/>
  <c r="T55" i="38"/>
  <c r="T81" i="38" s="1"/>
  <c r="S55" i="38"/>
  <c r="S81" i="38" s="1"/>
  <c r="R55" i="38"/>
  <c r="R81" i="38" s="1"/>
  <c r="Q55" i="38"/>
  <c r="Q81" i="38" s="1"/>
  <c r="P55" i="38"/>
  <c r="P81" i="38" s="1"/>
  <c r="O55" i="38"/>
  <c r="O81" i="38" s="1"/>
  <c r="N55" i="38"/>
  <c r="N81" i="38" s="1"/>
  <c r="M55" i="38"/>
  <c r="M81" i="38" s="1"/>
  <c r="L55" i="38"/>
  <c r="L81" i="38" s="1"/>
  <c r="K55" i="38"/>
  <c r="K81" i="38" s="1"/>
  <c r="J55" i="38"/>
  <c r="J81" i="38" s="1"/>
  <c r="I55" i="38"/>
  <c r="I81" i="38" s="1"/>
  <c r="H55" i="38"/>
  <c r="H81" i="38" s="1"/>
  <c r="G55" i="38"/>
  <c r="G81" i="38" s="1"/>
  <c r="F55" i="38"/>
  <c r="F81" i="38" s="1"/>
  <c r="E55" i="38"/>
  <c r="E81" i="38" s="1"/>
  <c r="D55" i="38"/>
  <c r="D81" i="38" s="1"/>
  <c r="C55" i="38"/>
  <c r="C81" i="38" s="1"/>
  <c r="X45" i="38"/>
  <c r="X75" i="38" s="1"/>
  <c r="W45" i="38"/>
  <c r="V45" i="38"/>
  <c r="V75" i="38" s="1"/>
  <c r="U45" i="38"/>
  <c r="T45" i="38"/>
  <c r="S45" i="38"/>
  <c r="R45" i="38"/>
  <c r="Q45" i="38"/>
  <c r="P45" i="38"/>
  <c r="O45" i="38"/>
  <c r="N45" i="38"/>
  <c r="N80" i="38" s="1"/>
  <c r="M45" i="38"/>
  <c r="M80" i="38" s="1"/>
  <c r="M102" i="38" s="1"/>
  <c r="M100" i="38" s="1"/>
  <c r="L45" i="38"/>
  <c r="L80" i="38" s="1"/>
  <c r="K45" i="38"/>
  <c r="K80" i="38" s="1"/>
  <c r="K102" i="38" s="1"/>
  <c r="K100" i="38" s="1"/>
  <c r="J45" i="38"/>
  <c r="J80" i="38" s="1"/>
  <c r="I45" i="38"/>
  <c r="I80" i="38" s="1"/>
  <c r="I102" i="38" s="1"/>
  <c r="I100" i="38" s="1"/>
  <c r="H45" i="38"/>
  <c r="H80" i="38" s="1"/>
  <c r="G45" i="38"/>
  <c r="G80" i="38" s="1"/>
  <c r="G102" i="38" s="1"/>
  <c r="G100" i="38" s="1"/>
  <c r="F45" i="38"/>
  <c r="F80" i="38" s="1"/>
  <c r="F102" i="38" s="1"/>
  <c r="F100" i="38" s="1"/>
  <c r="E45" i="38"/>
  <c r="E80" i="38" s="1"/>
  <c r="E102" i="38" s="1"/>
  <c r="E100" i="38" s="1"/>
  <c r="D45" i="38"/>
  <c r="D80" i="38" s="1"/>
  <c r="D102" i="38" s="1"/>
  <c r="D100" i="38" s="1"/>
  <c r="C45" i="38"/>
  <c r="C80" i="38" s="1"/>
  <c r="C102" i="38" s="1"/>
  <c r="C100" i="38" s="1"/>
  <c r="X44" i="38"/>
  <c r="W44" i="38"/>
  <c r="V44" i="38"/>
  <c r="U44" i="38"/>
  <c r="T44" i="38"/>
  <c r="S44" i="38"/>
  <c r="R44" i="38"/>
  <c r="Q44" i="38"/>
  <c r="P44" i="38"/>
  <c r="O44" i="38"/>
  <c r="N44" i="38"/>
  <c r="M44" i="38"/>
  <c r="L44" i="38"/>
  <c r="K44" i="38"/>
  <c r="J44" i="38"/>
  <c r="I44" i="38"/>
  <c r="H44" i="38"/>
  <c r="G44" i="38"/>
  <c r="F44" i="38"/>
  <c r="E44" i="38"/>
  <c r="D44" i="38"/>
  <c r="C44" i="38"/>
  <c r="X36" i="38"/>
  <c r="W36" i="38"/>
  <c r="V36" i="38"/>
  <c r="U36" i="38"/>
  <c r="T36" i="38"/>
  <c r="S36" i="38"/>
  <c r="R36" i="38"/>
  <c r="Q36" i="38"/>
  <c r="P36" i="38"/>
  <c r="O36" i="38"/>
  <c r="N36" i="38"/>
  <c r="M36" i="38"/>
  <c r="L36" i="38"/>
  <c r="K36" i="38"/>
  <c r="J36" i="38"/>
  <c r="I36" i="38"/>
  <c r="H36" i="38"/>
  <c r="G36" i="38"/>
  <c r="X26" i="38"/>
  <c r="X38" i="38" s="1"/>
  <c r="W26" i="38"/>
  <c r="W38" i="38" s="1"/>
  <c r="V26" i="38"/>
  <c r="V38" i="38" s="1"/>
  <c r="U26" i="38"/>
  <c r="U38" i="38" s="1"/>
  <c r="T26" i="38"/>
  <c r="T38" i="38" s="1"/>
  <c r="S26" i="38"/>
  <c r="S38" i="38" s="1"/>
  <c r="R26" i="38"/>
  <c r="R38" i="38" s="1"/>
  <c r="Q26" i="38"/>
  <c r="Q38" i="38" s="1"/>
  <c r="P26" i="38"/>
  <c r="P38" i="38" s="1"/>
  <c r="O26" i="38"/>
  <c r="O38" i="38" s="1"/>
  <c r="N26" i="38"/>
  <c r="N38" i="38" s="1"/>
  <c r="M26" i="38"/>
  <c r="M38" i="38" s="1"/>
  <c r="L26" i="38"/>
  <c r="L38" i="38" s="1"/>
  <c r="K26" i="38"/>
  <c r="K38" i="38" s="1"/>
  <c r="J26" i="38"/>
  <c r="J38" i="38" s="1"/>
  <c r="I26" i="38"/>
  <c r="I38" i="38" s="1"/>
  <c r="H26" i="38"/>
  <c r="H38" i="38" s="1"/>
  <c r="G26" i="38"/>
  <c r="G38" i="38" s="1"/>
  <c r="F26" i="38"/>
  <c r="F38" i="38" s="1"/>
  <c r="E26" i="38"/>
  <c r="E38" i="38" s="1"/>
  <c r="D26" i="38"/>
  <c r="D38" i="38" s="1"/>
  <c r="C26" i="38"/>
  <c r="C38" i="38" s="1"/>
  <c r="F96" i="37"/>
  <c r="E96" i="37"/>
  <c r="D96" i="37"/>
  <c r="C96" i="37"/>
  <c r="X92" i="37"/>
  <c r="W92" i="37"/>
  <c r="V92" i="37"/>
  <c r="U92" i="37"/>
  <c r="T92" i="37"/>
  <c r="S92" i="37"/>
  <c r="R92" i="37"/>
  <c r="Q92" i="37"/>
  <c r="P92" i="37"/>
  <c r="O92" i="37"/>
  <c r="N92" i="37"/>
  <c r="M92" i="37"/>
  <c r="L92" i="37"/>
  <c r="K92" i="37"/>
  <c r="J92" i="37"/>
  <c r="I92" i="37"/>
  <c r="H92" i="37"/>
  <c r="G92" i="37"/>
  <c r="F92" i="37"/>
  <c r="E92" i="37"/>
  <c r="D92" i="37"/>
  <c r="C92" i="37"/>
  <c r="X91" i="37"/>
  <c r="W91" i="37"/>
  <c r="V91" i="37"/>
  <c r="U91" i="37"/>
  <c r="T91" i="37"/>
  <c r="S91" i="37"/>
  <c r="R91" i="37"/>
  <c r="Q91" i="37"/>
  <c r="P91" i="37"/>
  <c r="O91" i="37"/>
  <c r="N91" i="37"/>
  <c r="M91" i="37"/>
  <c r="L91" i="37"/>
  <c r="K91" i="37"/>
  <c r="J91" i="37"/>
  <c r="I91" i="37"/>
  <c r="H91" i="37"/>
  <c r="G91" i="37"/>
  <c r="F91" i="37"/>
  <c r="E91" i="37"/>
  <c r="D91" i="37"/>
  <c r="C91" i="37"/>
  <c r="X90" i="37"/>
  <c r="W90" i="37"/>
  <c r="V90" i="37"/>
  <c r="U90" i="37"/>
  <c r="T90" i="37"/>
  <c r="S90" i="37"/>
  <c r="R90" i="37"/>
  <c r="Q90" i="37"/>
  <c r="P90" i="37"/>
  <c r="O90" i="37"/>
  <c r="N90" i="37"/>
  <c r="M90" i="37"/>
  <c r="L90" i="37"/>
  <c r="K90" i="37"/>
  <c r="J90" i="37"/>
  <c r="I90" i="37"/>
  <c r="H90" i="37"/>
  <c r="G90" i="37"/>
  <c r="F90" i="37"/>
  <c r="E90" i="37"/>
  <c r="D90" i="37"/>
  <c r="C90" i="37"/>
  <c r="X89" i="37"/>
  <c r="W89" i="37"/>
  <c r="V89" i="37"/>
  <c r="U89" i="37"/>
  <c r="T89" i="37"/>
  <c r="S89" i="37"/>
  <c r="R89" i="37"/>
  <c r="Q89" i="37"/>
  <c r="P89" i="37"/>
  <c r="O89" i="37"/>
  <c r="N89" i="37"/>
  <c r="M89" i="37"/>
  <c r="L89" i="37"/>
  <c r="K89" i="37"/>
  <c r="J89" i="37"/>
  <c r="I89" i="37"/>
  <c r="H89" i="37"/>
  <c r="G89" i="37"/>
  <c r="F89" i="37"/>
  <c r="E89" i="37"/>
  <c r="D89" i="37"/>
  <c r="C89" i="37"/>
  <c r="X88" i="37"/>
  <c r="W88" i="37"/>
  <c r="V88" i="37"/>
  <c r="U88" i="37"/>
  <c r="T88" i="37"/>
  <c r="S88" i="37"/>
  <c r="R88" i="37"/>
  <c r="Q88" i="37"/>
  <c r="P88" i="37"/>
  <c r="O88" i="37"/>
  <c r="N88" i="37"/>
  <c r="M88" i="37"/>
  <c r="L88" i="37"/>
  <c r="K88" i="37"/>
  <c r="J88" i="37"/>
  <c r="I88" i="37"/>
  <c r="H88" i="37"/>
  <c r="G88" i="37"/>
  <c r="F88" i="37"/>
  <c r="E88" i="37"/>
  <c r="D88" i="37"/>
  <c r="C88" i="37"/>
  <c r="X87" i="37"/>
  <c r="W87" i="37"/>
  <c r="V87" i="37"/>
  <c r="X86" i="37"/>
  <c r="W86" i="37"/>
  <c r="V86" i="37"/>
  <c r="U86" i="37"/>
  <c r="T86" i="37"/>
  <c r="S86" i="37"/>
  <c r="R86" i="37"/>
  <c r="Q86" i="37"/>
  <c r="P86" i="37"/>
  <c r="O86" i="37"/>
  <c r="N86" i="37"/>
  <c r="M86" i="37"/>
  <c r="L86" i="37"/>
  <c r="K86" i="37"/>
  <c r="J86" i="37"/>
  <c r="I86" i="37"/>
  <c r="H86" i="37"/>
  <c r="G86" i="37"/>
  <c r="F86" i="37"/>
  <c r="E86" i="37"/>
  <c r="D86" i="37"/>
  <c r="C86" i="37"/>
  <c r="X72" i="37"/>
  <c r="W72" i="37"/>
  <c r="V72" i="37"/>
  <c r="U72" i="37"/>
  <c r="T72" i="37"/>
  <c r="S72" i="37"/>
  <c r="R72" i="37"/>
  <c r="Q72" i="37"/>
  <c r="P72" i="37"/>
  <c r="O72" i="37"/>
  <c r="N72" i="37"/>
  <c r="M72" i="37"/>
  <c r="L72" i="37"/>
  <c r="K72" i="37"/>
  <c r="J72" i="37"/>
  <c r="I72" i="37"/>
  <c r="H72" i="37"/>
  <c r="G72" i="37"/>
  <c r="F72" i="37"/>
  <c r="E72" i="37"/>
  <c r="D72" i="37"/>
  <c r="C72" i="37"/>
  <c r="X68" i="37"/>
  <c r="W68" i="37"/>
  <c r="V68" i="37"/>
  <c r="U68" i="37"/>
  <c r="T68" i="37"/>
  <c r="S68" i="37"/>
  <c r="R68" i="37"/>
  <c r="Q68" i="37"/>
  <c r="P68" i="37"/>
  <c r="O68" i="37"/>
  <c r="N68" i="37"/>
  <c r="M68" i="37"/>
  <c r="L68" i="37"/>
  <c r="K68" i="37"/>
  <c r="J68" i="37"/>
  <c r="I68" i="37"/>
  <c r="H68" i="37"/>
  <c r="G68" i="37"/>
  <c r="F68" i="37"/>
  <c r="E68" i="37"/>
  <c r="D68" i="37"/>
  <c r="C68" i="37"/>
  <c r="X67" i="37"/>
  <c r="W67" i="37"/>
  <c r="V67" i="37"/>
  <c r="U67" i="37"/>
  <c r="T67" i="37"/>
  <c r="S67" i="37"/>
  <c r="R67" i="37"/>
  <c r="Q67" i="37"/>
  <c r="P67" i="37"/>
  <c r="O67" i="37"/>
  <c r="N67" i="37"/>
  <c r="M67" i="37"/>
  <c r="L67" i="37"/>
  <c r="K67" i="37"/>
  <c r="J67" i="37"/>
  <c r="I67" i="37"/>
  <c r="H67" i="37"/>
  <c r="G67" i="37"/>
  <c r="F67" i="37"/>
  <c r="E67" i="37"/>
  <c r="D67" i="37"/>
  <c r="C67" i="37"/>
  <c r="X59" i="37"/>
  <c r="W59" i="37"/>
  <c r="V59" i="37"/>
  <c r="U59" i="37"/>
  <c r="T59" i="37"/>
  <c r="S59" i="37"/>
  <c r="R59" i="37"/>
  <c r="Q59" i="37"/>
  <c r="P59" i="37"/>
  <c r="O59" i="37"/>
  <c r="N59" i="37"/>
  <c r="M59" i="37"/>
  <c r="L59" i="37"/>
  <c r="K59" i="37"/>
  <c r="J59" i="37"/>
  <c r="I59" i="37"/>
  <c r="H59" i="37"/>
  <c r="G59" i="37"/>
  <c r="F59" i="37"/>
  <c r="E59" i="37"/>
  <c r="D59" i="37"/>
  <c r="C59" i="37"/>
  <c r="X57" i="37"/>
  <c r="W57" i="37"/>
  <c r="W83" i="37" s="1"/>
  <c r="V57" i="37"/>
  <c r="U57" i="37"/>
  <c r="U83" i="37" s="1"/>
  <c r="T57" i="37"/>
  <c r="T83" i="37" s="1"/>
  <c r="S57" i="37"/>
  <c r="S83" i="37" s="1"/>
  <c r="R57" i="37"/>
  <c r="R83" i="37" s="1"/>
  <c r="Q57" i="37"/>
  <c r="Q83" i="37" s="1"/>
  <c r="P57" i="37"/>
  <c r="P83" i="37" s="1"/>
  <c r="O57" i="37"/>
  <c r="O83" i="37" s="1"/>
  <c r="N57" i="37"/>
  <c r="N83" i="37" s="1"/>
  <c r="M57" i="37"/>
  <c r="M83" i="37" s="1"/>
  <c r="L57" i="37"/>
  <c r="L83" i="37" s="1"/>
  <c r="K57" i="37"/>
  <c r="K83" i="37" s="1"/>
  <c r="J57" i="37"/>
  <c r="J83" i="37" s="1"/>
  <c r="I57" i="37"/>
  <c r="I83" i="37" s="1"/>
  <c r="H57" i="37"/>
  <c r="H83" i="37" s="1"/>
  <c r="G57" i="37"/>
  <c r="G83" i="37" s="1"/>
  <c r="F57" i="37"/>
  <c r="F83" i="37" s="1"/>
  <c r="E57" i="37"/>
  <c r="E83" i="37" s="1"/>
  <c r="D57" i="37"/>
  <c r="D83" i="37" s="1"/>
  <c r="C57" i="37"/>
  <c r="C83" i="37" s="1"/>
  <c r="X46" i="37"/>
  <c r="X78" i="37" s="1"/>
  <c r="W46" i="37"/>
  <c r="W78" i="37" s="1"/>
  <c r="V46" i="37"/>
  <c r="U46" i="37"/>
  <c r="U82" i="37" s="1"/>
  <c r="T46" i="37"/>
  <c r="S46" i="37"/>
  <c r="S81" i="37" s="1"/>
  <c r="R46" i="37"/>
  <c r="Q46" i="37"/>
  <c r="Q82" i="37" s="1"/>
  <c r="P46" i="37"/>
  <c r="O46" i="37"/>
  <c r="O81" i="37" s="1"/>
  <c r="N46" i="37"/>
  <c r="M46" i="37"/>
  <c r="M82" i="37" s="1"/>
  <c r="L46" i="37"/>
  <c r="K46" i="37"/>
  <c r="K81" i="37" s="1"/>
  <c r="J46" i="37"/>
  <c r="I46" i="37"/>
  <c r="I82" i="37" s="1"/>
  <c r="H46" i="37"/>
  <c r="G46" i="37"/>
  <c r="G81" i="37" s="1"/>
  <c r="F46" i="37"/>
  <c r="E46" i="37"/>
  <c r="E82" i="37" s="1"/>
  <c r="D46" i="37"/>
  <c r="C46" i="37"/>
  <c r="C81" i="37" s="1"/>
  <c r="X45" i="37"/>
  <c r="W45" i="37"/>
  <c r="V45" i="37"/>
  <c r="U45" i="37"/>
  <c r="T45" i="37"/>
  <c r="S45" i="37"/>
  <c r="R45" i="37"/>
  <c r="Q45" i="37"/>
  <c r="P45" i="37"/>
  <c r="O45" i="37"/>
  <c r="N45" i="37"/>
  <c r="M45" i="37"/>
  <c r="L45" i="37"/>
  <c r="K45" i="37"/>
  <c r="J45" i="37"/>
  <c r="I45" i="37"/>
  <c r="H45" i="37"/>
  <c r="G45" i="37"/>
  <c r="F45" i="37"/>
  <c r="E45" i="37"/>
  <c r="D45" i="37"/>
  <c r="C45" i="37"/>
  <c r="X37" i="37"/>
  <c r="W37" i="37"/>
  <c r="V37" i="37"/>
  <c r="U37" i="37"/>
  <c r="T37" i="37"/>
  <c r="S37" i="37"/>
  <c r="R37" i="37"/>
  <c r="Q37" i="37"/>
  <c r="P37" i="37"/>
  <c r="O37" i="37"/>
  <c r="N37" i="37"/>
  <c r="M37" i="37"/>
  <c r="L37" i="37"/>
  <c r="K37" i="37"/>
  <c r="J37" i="37"/>
  <c r="I37" i="37"/>
  <c r="H37" i="37"/>
  <c r="G37" i="37"/>
  <c r="X27" i="37"/>
  <c r="X39" i="37" s="1"/>
  <c r="W27" i="37"/>
  <c r="W39" i="37" s="1"/>
  <c r="V27" i="37"/>
  <c r="V39" i="37" s="1"/>
  <c r="U27" i="37"/>
  <c r="U39" i="37" s="1"/>
  <c r="T27" i="37"/>
  <c r="T39" i="37" s="1"/>
  <c r="S27" i="37"/>
  <c r="S39" i="37" s="1"/>
  <c r="R27" i="37"/>
  <c r="R39" i="37" s="1"/>
  <c r="Q27" i="37"/>
  <c r="Q39" i="37" s="1"/>
  <c r="P27" i="37"/>
  <c r="P39" i="37" s="1"/>
  <c r="O27" i="37"/>
  <c r="O39" i="37" s="1"/>
  <c r="N27" i="37"/>
  <c r="N39" i="37" s="1"/>
  <c r="M27" i="37"/>
  <c r="M39" i="37" s="1"/>
  <c r="L27" i="37"/>
  <c r="L39" i="37" s="1"/>
  <c r="K27" i="37"/>
  <c r="K39" i="37" s="1"/>
  <c r="J27" i="37"/>
  <c r="J39" i="37" s="1"/>
  <c r="I27" i="37"/>
  <c r="I39" i="37" s="1"/>
  <c r="H27" i="37"/>
  <c r="H39" i="37" s="1"/>
  <c r="G27" i="37"/>
  <c r="G39" i="37" s="1"/>
  <c r="F27" i="37"/>
  <c r="F39" i="37" s="1"/>
  <c r="E27" i="37"/>
  <c r="E39" i="37" s="1"/>
  <c r="D27" i="37"/>
  <c r="D39" i="37" s="1"/>
  <c r="C27" i="37"/>
  <c r="C39" i="37" s="1"/>
  <c r="X16" i="36"/>
  <c r="W16" i="36"/>
  <c r="V16" i="36"/>
  <c r="U16" i="36"/>
  <c r="T16" i="36"/>
  <c r="S16" i="36"/>
  <c r="R16" i="36"/>
  <c r="Q16" i="36"/>
  <c r="P16" i="36"/>
  <c r="O16" i="36"/>
  <c r="N16" i="36"/>
  <c r="M16" i="36"/>
  <c r="L16" i="36"/>
  <c r="K16" i="36"/>
  <c r="J16" i="36"/>
  <c r="I16" i="36"/>
  <c r="H16" i="36"/>
  <c r="G16" i="36"/>
  <c r="F16" i="36"/>
  <c r="E16" i="36"/>
  <c r="D16" i="36"/>
  <c r="C16" i="36"/>
  <c r="E39" i="35"/>
  <c r="D39" i="35"/>
  <c r="C39" i="35"/>
  <c r="X37" i="35"/>
  <c r="X42" i="35" s="1"/>
  <c r="X12" i="35" s="1"/>
  <c r="W37" i="35"/>
  <c r="W42" i="35" s="1"/>
  <c r="W12" i="35" s="1"/>
  <c r="V37" i="35"/>
  <c r="V42" i="35" s="1"/>
  <c r="V12" i="35" s="1"/>
  <c r="U37" i="35"/>
  <c r="U42" i="35" s="1"/>
  <c r="U12" i="35" s="1"/>
  <c r="T37" i="35"/>
  <c r="T42" i="35" s="1"/>
  <c r="T12" i="35" s="1"/>
  <c r="S37" i="35"/>
  <c r="S42" i="35" s="1"/>
  <c r="S12" i="35" s="1"/>
  <c r="R37" i="35"/>
  <c r="R42" i="35" s="1"/>
  <c r="R12" i="35" s="1"/>
  <c r="Q37" i="35"/>
  <c r="Q42" i="35" s="1"/>
  <c r="Q12" i="35" s="1"/>
  <c r="P37" i="35"/>
  <c r="P42" i="35" s="1"/>
  <c r="P12" i="35" s="1"/>
  <c r="O37" i="35"/>
  <c r="O42" i="35" s="1"/>
  <c r="O12" i="35" s="1"/>
  <c r="N37" i="35"/>
  <c r="N42" i="35" s="1"/>
  <c r="N12" i="35" s="1"/>
  <c r="M37" i="35"/>
  <c r="M42" i="35" s="1"/>
  <c r="M12" i="35" s="1"/>
  <c r="L37" i="35"/>
  <c r="L42" i="35" s="1"/>
  <c r="L12" i="35" s="1"/>
  <c r="K37" i="35"/>
  <c r="K42" i="35" s="1"/>
  <c r="K12" i="35" s="1"/>
  <c r="J37" i="35"/>
  <c r="J42" i="35" s="1"/>
  <c r="J12" i="35" s="1"/>
  <c r="I37" i="35"/>
  <c r="I42" i="35" s="1"/>
  <c r="I12" i="35" s="1"/>
  <c r="H37" i="35"/>
  <c r="H42" i="35" s="1"/>
  <c r="H12" i="35" s="1"/>
  <c r="G37" i="35"/>
  <c r="G42" i="35" s="1"/>
  <c r="G12" i="35" s="1"/>
  <c r="F37" i="35"/>
  <c r="F42" i="35" s="1"/>
  <c r="F12" i="35" s="1"/>
  <c r="E37" i="35"/>
  <c r="E42" i="35" s="1"/>
  <c r="E12" i="35" s="1"/>
  <c r="D37" i="35"/>
  <c r="D42" i="35" s="1"/>
  <c r="D12" i="35" s="1"/>
  <c r="C37" i="35"/>
  <c r="C42" i="35" s="1"/>
  <c r="C12" i="35" s="1"/>
  <c r="E32" i="35"/>
  <c r="D32" i="35"/>
  <c r="D8" i="35" s="1"/>
  <c r="C32" i="35"/>
  <c r="E31" i="35"/>
  <c r="E7" i="35" s="1"/>
  <c r="C31" i="35"/>
  <c r="E30" i="35"/>
  <c r="D30" i="35"/>
  <c r="C30" i="35"/>
  <c r="X28" i="35"/>
  <c r="W28" i="35"/>
  <c r="V28" i="35"/>
  <c r="U28" i="35"/>
  <c r="T28" i="35"/>
  <c r="S28" i="35"/>
  <c r="R28" i="35"/>
  <c r="Q28" i="35"/>
  <c r="P28" i="35"/>
  <c r="O28" i="35"/>
  <c r="N28" i="35"/>
  <c r="M28" i="35"/>
  <c r="L28" i="35"/>
  <c r="K28" i="35"/>
  <c r="J28" i="35"/>
  <c r="I28" i="35"/>
  <c r="H28" i="35"/>
  <c r="G28" i="35"/>
  <c r="F28" i="35"/>
  <c r="E28" i="35"/>
  <c r="D28" i="35"/>
  <c r="C28" i="35"/>
  <c r="E27" i="35"/>
  <c r="D27" i="35"/>
  <c r="C27" i="35"/>
  <c r="X25" i="35"/>
  <c r="W25" i="35"/>
  <c r="V25" i="35"/>
  <c r="U25" i="35"/>
  <c r="T25" i="35"/>
  <c r="T33" i="35" s="1"/>
  <c r="S25" i="35"/>
  <c r="R25" i="35"/>
  <c r="R33" i="35" s="1"/>
  <c r="R11" i="35" s="1"/>
  <c r="Q25" i="35"/>
  <c r="P25" i="35"/>
  <c r="P33" i="35" s="1"/>
  <c r="P11" i="35" s="1"/>
  <c r="O25" i="35"/>
  <c r="N25" i="35"/>
  <c r="N33" i="35" s="1"/>
  <c r="N11" i="35" s="1"/>
  <c r="M25" i="35"/>
  <c r="L25" i="35"/>
  <c r="L33" i="35" s="1"/>
  <c r="L11" i="35" s="1"/>
  <c r="K25" i="35"/>
  <c r="J25" i="35"/>
  <c r="J33" i="35" s="1"/>
  <c r="J11" i="35" s="1"/>
  <c r="I25" i="35"/>
  <c r="H25" i="35"/>
  <c r="H33" i="35" s="1"/>
  <c r="H11" i="35" s="1"/>
  <c r="G25" i="35"/>
  <c r="F25" i="35"/>
  <c r="F33" i="35" s="1"/>
  <c r="F11" i="35" s="1"/>
  <c r="E25" i="35"/>
  <c r="D25" i="35"/>
  <c r="D33" i="35" s="1"/>
  <c r="C25" i="35"/>
  <c r="E20" i="35"/>
  <c r="E18" i="35"/>
  <c r="D18" i="35"/>
  <c r="C18" i="35"/>
  <c r="X16" i="35"/>
  <c r="X21" i="35" s="1"/>
  <c r="X10" i="35" s="1"/>
  <c r="W16" i="35"/>
  <c r="W21" i="35" s="1"/>
  <c r="W10" i="35" s="1"/>
  <c r="V16" i="35"/>
  <c r="V6" i="35" s="1"/>
  <c r="U16" i="35"/>
  <c r="U21" i="35" s="1"/>
  <c r="U10" i="35" s="1"/>
  <c r="T16" i="35"/>
  <c r="T21" i="35" s="1"/>
  <c r="T10" i="35" s="1"/>
  <c r="S16" i="35"/>
  <c r="S21" i="35" s="1"/>
  <c r="S10" i="35" s="1"/>
  <c r="R16" i="35"/>
  <c r="R6" i="35" s="1"/>
  <c r="Q16" i="35"/>
  <c r="Q21" i="35" s="1"/>
  <c r="Q10" i="35" s="1"/>
  <c r="P16" i="35"/>
  <c r="P21" i="35" s="1"/>
  <c r="P10" i="35" s="1"/>
  <c r="O16" i="35"/>
  <c r="O21" i="35" s="1"/>
  <c r="O10" i="35" s="1"/>
  <c r="N16" i="35"/>
  <c r="N6" i="35" s="1"/>
  <c r="M16" i="35"/>
  <c r="M21" i="35" s="1"/>
  <c r="M10" i="35" s="1"/>
  <c r="L16" i="35"/>
  <c r="L21" i="35" s="1"/>
  <c r="L10" i="35" s="1"/>
  <c r="K16" i="35"/>
  <c r="K21" i="35" s="1"/>
  <c r="K10" i="35" s="1"/>
  <c r="J16" i="35"/>
  <c r="J6" i="35" s="1"/>
  <c r="I16" i="35"/>
  <c r="I21" i="35" s="1"/>
  <c r="I10" i="35" s="1"/>
  <c r="H16" i="35"/>
  <c r="H21" i="35" s="1"/>
  <c r="H10" i="35" s="1"/>
  <c r="G16" i="35"/>
  <c r="G21" i="35" s="1"/>
  <c r="G10" i="35" s="1"/>
  <c r="F16" i="35"/>
  <c r="F6" i="35" s="1"/>
  <c r="E16" i="35"/>
  <c r="D16" i="35"/>
  <c r="D21" i="35" s="1"/>
  <c r="D10" i="35" s="1"/>
  <c r="C16" i="35"/>
  <c r="C21" i="35" s="1"/>
  <c r="C10" i="35" s="1"/>
  <c r="T11" i="35"/>
  <c r="D11" i="35"/>
  <c r="X8" i="35"/>
  <c r="W8" i="35"/>
  <c r="V8" i="35"/>
  <c r="U8" i="35"/>
  <c r="T8" i="35"/>
  <c r="S8" i="35"/>
  <c r="R8" i="35"/>
  <c r="Q8" i="35"/>
  <c r="P8" i="35"/>
  <c r="O8" i="35"/>
  <c r="N8" i="35"/>
  <c r="M8" i="35"/>
  <c r="L8" i="35"/>
  <c r="K8" i="35"/>
  <c r="J8" i="35"/>
  <c r="I8" i="35"/>
  <c r="H8" i="35"/>
  <c r="G8" i="35"/>
  <c r="F8" i="35"/>
  <c r="E8" i="35"/>
  <c r="C8" i="35"/>
  <c r="X7" i="35"/>
  <c r="W7" i="35"/>
  <c r="V7" i="35"/>
  <c r="U7" i="35"/>
  <c r="T7" i="35"/>
  <c r="S7" i="35"/>
  <c r="R7" i="35"/>
  <c r="Q7" i="35"/>
  <c r="P7" i="35"/>
  <c r="O7" i="35"/>
  <c r="N7" i="35"/>
  <c r="M7" i="35"/>
  <c r="L7" i="35"/>
  <c r="K7" i="35"/>
  <c r="J7" i="35"/>
  <c r="I7" i="35"/>
  <c r="H7" i="35"/>
  <c r="G7" i="35"/>
  <c r="F7" i="35"/>
  <c r="D7" i="35"/>
  <c r="C7" i="35"/>
  <c r="U6" i="35"/>
  <c r="U9" i="35" s="1"/>
  <c r="U44" i="35" s="1"/>
  <c r="M6" i="35"/>
  <c r="E6" i="35"/>
  <c r="X18" i="34"/>
  <c r="X24" i="34" s="1"/>
  <c r="W18" i="34"/>
  <c r="W24" i="34" s="1"/>
  <c r="V18" i="34"/>
  <c r="V24" i="34" s="1"/>
  <c r="U18" i="34"/>
  <c r="U24" i="34" s="1"/>
  <c r="T18" i="34"/>
  <c r="T24" i="34" s="1"/>
  <c r="S18" i="34"/>
  <c r="S24" i="34" s="1"/>
  <c r="R18" i="34"/>
  <c r="R24" i="34" s="1"/>
  <c r="Q18" i="34"/>
  <c r="Q24" i="34" s="1"/>
  <c r="P18" i="34"/>
  <c r="P24" i="34" s="1"/>
  <c r="O18" i="34"/>
  <c r="O24" i="34" s="1"/>
  <c r="N18" i="34"/>
  <c r="N24" i="34" s="1"/>
  <c r="M18" i="34"/>
  <c r="M24" i="34" s="1"/>
  <c r="L18" i="34"/>
  <c r="L24" i="34" s="1"/>
  <c r="K18" i="34"/>
  <c r="K24" i="34" s="1"/>
  <c r="J18" i="34"/>
  <c r="J24" i="34" s="1"/>
  <c r="I18" i="34"/>
  <c r="I24" i="34" s="1"/>
  <c r="H18" i="34"/>
  <c r="H24" i="34" s="1"/>
  <c r="G18" i="34"/>
  <c r="G24" i="34" s="1"/>
  <c r="F18" i="34"/>
  <c r="F24" i="34" s="1"/>
  <c r="E18" i="34"/>
  <c r="E24" i="34" s="1"/>
  <c r="D18" i="34"/>
  <c r="D24" i="34" s="1"/>
  <c r="C18" i="34"/>
  <c r="C24" i="34" s="1"/>
  <c r="X14" i="34"/>
  <c r="X23" i="34" s="1"/>
  <c r="W14" i="34"/>
  <c r="W23" i="34" s="1"/>
  <c r="V14" i="34"/>
  <c r="V23" i="34" s="1"/>
  <c r="U14" i="34"/>
  <c r="U23" i="34" s="1"/>
  <c r="T14" i="34"/>
  <c r="T23" i="34" s="1"/>
  <c r="S14" i="34"/>
  <c r="S23" i="34" s="1"/>
  <c r="R14" i="34"/>
  <c r="R23" i="34" s="1"/>
  <c r="Q14" i="34"/>
  <c r="Q23" i="34" s="1"/>
  <c r="P14" i="34"/>
  <c r="P23" i="34" s="1"/>
  <c r="O14" i="34"/>
  <c r="O23" i="34" s="1"/>
  <c r="N14" i="34"/>
  <c r="N23" i="34" s="1"/>
  <c r="M14" i="34"/>
  <c r="M23" i="34" s="1"/>
  <c r="L14" i="34"/>
  <c r="L23" i="34" s="1"/>
  <c r="K14" i="34"/>
  <c r="K23" i="34" s="1"/>
  <c r="J14" i="34"/>
  <c r="J23" i="34" s="1"/>
  <c r="I14" i="34"/>
  <c r="I23" i="34" s="1"/>
  <c r="H14" i="34"/>
  <c r="H23" i="34" s="1"/>
  <c r="G14" i="34"/>
  <c r="G23" i="34" s="1"/>
  <c r="F14" i="34"/>
  <c r="F23" i="34" s="1"/>
  <c r="E14" i="34"/>
  <c r="E23" i="34" s="1"/>
  <c r="D14" i="34"/>
  <c r="D23" i="34" s="1"/>
  <c r="C14" i="34"/>
  <c r="C23" i="34" s="1"/>
  <c r="X8" i="34"/>
  <c r="W8" i="34"/>
  <c r="V8" i="34"/>
  <c r="U8" i="34"/>
  <c r="T8" i="34"/>
  <c r="S8" i="34"/>
  <c r="R8" i="34"/>
  <c r="Q8" i="34"/>
  <c r="P8" i="34"/>
  <c r="O8" i="34"/>
  <c r="N8" i="34"/>
  <c r="M8" i="34"/>
  <c r="L8" i="34"/>
  <c r="K8" i="34"/>
  <c r="J8" i="34"/>
  <c r="I8" i="34"/>
  <c r="H8" i="34"/>
  <c r="G8" i="34"/>
  <c r="F8" i="34"/>
  <c r="E8" i="34"/>
  <c r="D8" i="34"/>
  <c r="C8" i="34"/>
  <c r="X5" i="34"/>
  <c r="X12" i="34" s="1"/>
  <c r="X22" i="34" s="1"/>
  <c r="W5" i="34"/>
  <c r="W12" i="34" s="1"/>
  <c r="W22" i="34" s="1"/>
  <c r="V5" i="34"/>
  <c r="V12" i="34" s="1"/>
  <c r="V22" i="34" s="1"/>
  <c r="U5" i="34"/>
  <c r="U12" i="34" s="1"/>
  <c r="U22" i="34" s="1"/>
  <c r="T5" i="34"/>
  <c r="T12" i="34" s="1"/>
  <c r="T22" i="34" s="1"/>
  <c r="S5" i="34"/>
  <c r="S12" i="34" s="1"/>
  <c r="S22" i="34" s="1"/>
  <c r="R5" i="34"/>
  <c r="R12" i="34" s="1"/>
  <c r="R22" i="34" s="1"/>
  <c r="Q5" i="34"/>
  <c r="Q12" i="34" s="1"/>
  <c r="Q22" i="34" s="1"/>
  <c r="P5" i="34"/>
  <c r="P12" i="34" s="1"/>
  <c r="P22" i="34" s="1"/>
  <c r="O5" i="34"/>
  <c r="O12" i="34" s="1"/>
  <c r="O22" i="34" s="1"/>
  <c r="N5" i="34"/>
  <c r="N12" i="34" s="1"/>
  <c r="N22" i="34" s="1"/>
  <c r="M5" i="34"/>
  <c r="M12" i="34" s="1"/>
  <c r="M22" i="34" s="1"/>
  <c r="L5" i="34"/>
  <c r="L12" i="34" s="1"/>
  <c r="L22" i="34" s="1"/>
  <c r="K5" i="34"/>
  <c r="K12" i="34" s="1"/>
  <c r="K22" i="34" s="1"/>
  <c r="J5" i="34"/>
  <c r="J12" i="34" s="1"/>
  <c r="J22" i="34" s="1"/>
  <c r="I5" i="34"/>
  <c r="I12" i="34" s="1"/>
  <c r="I22" i="34" s="1"/>
  <c r="H5" i="34"/>
  <c r="H12" i="34" s="1"/>
  <c r="H22" i="34" s="1"/>
  <c r="G5" i="34"/>
  <c r="G12" i="34" s="1"/>
  <c r="G22" i="34" s="1"/>
  <c r="F5" i="34"/>
  <c r="F12" i="34" s="1"/>
  <c r="F22" i="34" s="1"/>
  <c r="E5" i="34"/>
  <c r="E12" i="34" s="1"/>
  <c r="E22" i="34" s="1"/>
  <c r="D5" i="34"/>
  <c r="D12" i="34" s="1"/>
  <c r="D22" i="34" s="1"/>
  <c r="C5" i="34"/>
  <c r="C12" i="34" s="1"/>
  <c r="C22" i="34" s="1"/>
  <c r="X38" i="33"/>
  <c r="W38" i="33"/>
  <c r="V38" i="33"/>
  <c r="U38" i="33"/>
  <c r="T38" i="33"/>
  <c r="S38" i="33"/>
  <c r="R38" i="33"/>
  <c r="Q38" i="33"/>
  <c r="P38" i="33"/>
  <c r="O38" i="33"/>
  <c r="N38" i="33"/>
  <c r="M38" i="33"/>
  <c r="L38" i="33"/>
  <c r="K38" i="33"/>
  <c r="J38" i="33"/>
  <c r="I38" i="33"/>
  <c r="H38" i="33"/>
  <c r="X34" i="33"/>
  <c r="W34" i="33"/>
  <c r="V34" i="33"/>
  <c r="U34" i="33"/>
  <c r="T34" i="33"/>
  <c r="S34" i="33"/>
  <c r="R34" i="33"/>
  <c r="Q34" i="33"/>
  <c r="P34" i="33"/>
  <c r="O34" i="33"/>
  <c r="N34" i="33"/>
  <c r="M34" i="33"/>
  <c r="L34" i="33"/>
  <c r="K34" i="33"/>
  <c r="J34" i="33"/>
  <c r="I34" i="33"/>
  <c r="H34" i="33"/>
  <c r="X33" i="33"/>
  <c r="X41" i="33" s="1"/>
  <c r="W33" i="33"/>
  <c r="W41" i="33" s="1"/>
  <c r="K33" i="33"/>
  <c r="K41" i="33" s="1"/>
  <c r="X32" i="33"/>
  <c r="W32" i="33"/>
  <c r="X28" i="33"/>
  <c r="W28" i="33"/>
  <c r="V28" i="33"/>
  <c r="U28" i="33"/>
  <c r="T28" i="33"/>
  <c r="S28" i="33"/>
  <c r="R28" i="33"/>
  <c r="Q28" i="33"/>
  <c r="P28" i="33"/>
  <c r="O28" i="33"/>
  <c r="N28" i="33"/>
  <c r="M28" i="33"/>
  <c r="L28" i="33"/>
  <c r="K28" i="33"/>
  <c r="J28" i="33"/>
  <c r="I28" i="33"/>
  <c r="H28" i="33"/>
  <c r="J23" i="33"/>
  <c r="J33" i="33" s="1"/>
  <c r="I23" i="33"/>
  <c r="I33" i="33" s="1"/>
  <c r="H23" i="33"/>
  <c r="H33" i="33" s="1"/>
  <c r="X22" i="33"/>
  <c r="W22" i="33"/>
  <c r="V22" i="33"/>
  <c r="U22" i="33"/>
  <c r="T22" i="33"/>
  <c r="S22" i="33"/>
  <c r="R22" i="33"/>
  <c r="Q22" i="33"/>
  <c r="P22" i="33"/>
  <c r="O22" i="33"/>
  <c r="N22" i="33"/>
  <c r="M22" i="33"/>
  <c r="L22" i="33"/>
  <c r="K22" i="33"/>
  <c r="X19" i="33"/>
  <c r="X27" i="33" s="1"/>
  <c r="W19" i="33"/>
  <c r="W27" i="33" s="1"/>
  <c r="V19" i="33"/>
  <c r="V27" i="33" s="1"/>
  <c r="U19" i="33"/>
  <c r="U27" i="33" s="1"/>
  <c r="T19" i="33"/>
  <c r="T27" i="33" s="1"/>
  <c r="S19" i="33"/>
  <c r="S27" i="33" s="1"/>
  <c r="R19" i="33"/>
  <c r="R27" i="33" s="1"/>
  <c r="Q19" i="33"/>
  <c r="Q27" i="33" s="1"/>
  <c r="P19" i="33"/>
  <c r="P27" i="33" s="1"/>
  <c r="O19" i="33"/>
  <c r="O27" i="33" s="1"/>
  <c r="N19" i="33"/>
  <c r="N27" i="33" s="1"/>
  <c r="M19" i="33"/>
  <c r="M27" i="33" s="1"/>
  <c r="L19" i="33"/>
  <c r="L27" i="33" s="1"/>
  <c r="K19" i="33"/>
  <c r="K27" i="33" s="1"/>
  <c r="J19" i="33"/>
  <c r="J27" i="33" s="1"/>
  <c r="I19" i="33"/>
  <c r="I27" i="33" s="1"/>
  <c r="H19" i="33"/>
  <c r="H27" i="33" s="1"/>
  <c r="X16" i="33"/>
  <c r="W16" i="33"/>
  <c r="V16" i="33"/>
  <c r="U16" i="33"/>
  <c r="T16" i="33"/>
  <c r="S16" i="33"/>
  <c r="R16" i="33"/>
  <c r="Q16" i="33"/>
  <c r="P16" i="33"/>
  <c r="O16" i="33"/>
  <c r="N16" i="33"/>
  <c r="M16" i="33"/>
  <c r="L16" i="33"/>
  <c r="K16" i="33"/>
  <c r="J16" i="33"/>
  <c r="I16" i="33"/>
  <c r="H16" i="33"/>
  <c r="V11" i="33"/>
  <c r="V33" i="33" s="1"/>
  <c r="U11" i="33"/>
  <c r="U33" i="33" s="1"/>
  <c r="T11" i="33"/>
  <c r="T33" i="33" s="1"/>
  <c r="S11" i="33"/>
  <c r="S33" i="33" s="1"/>
  <c r="R11" i="33"/>
  <c r="R33" i="33" s="1"/>
  <c r="Q11" i="33"/>
  <c r="P11" i="33"/>
  <c r="P33" i="33" s="1"/>
  <c r="O11" i="33"/>
  <c r="O33" i="33" s="1"/>
  <c r="N11" i="33"/>
  <c r="N33" i="33" s="1"/>
  <c r="M11" i="33"/>
  <c r="M33" i="33" s="1"/>
  <c r="L11" i="33"/>
  <c r="L33" i="33" s="1"/>
  <c r="X10" i="33"/>
  <c r="W10" i="33"/>
  <c r="U10" i="33"/>
  <c r="K10" i="33"/>
  <c r="J10" i="33"/>
  <c r="I10" i="33"/>
  <c r="H10" i="33"/>
  <c r="X7" i="33"/>
  <c r="W7" i="33"/>
  <c r="V7" i="33"/>
  <c r="U7" i="33"/>
  <c r="T7" i="33"/>
  <c r="S7" i="33"/>
  <c r="R7" i="33"/>
  <c r="Q7" i="33"/>
  <c r="P7" i="33"/>
  <c r="O7" i="33"/>
  <c r="N7" i="33"/>
  <c r="M7" i="33"/>
  <c r="L7" i="33"/>
  <c r="K7" i="33"/>
  <c r="J7" i="33"/>
  <c r="I7" i="33"/>
  <c r="H7" i="33"/>
  <c r="H30" i="33" s="1"/>
  <c r="G26" i="32"/>
  <c r="G33" i="32" s="1"/>
  <c r="X72" i="32"/>
  <c r="W72" i="32"/>
  <c r="V72" i="32"/>
  <c r="U72" i="32"/>
  <c r="T72" i="32"/>
  <c r="S72" i="32"/>
  <c r="R72" i="32"/>
  <c r="Q72" i="32"/>
  <c r="P72" i="32"/>
  <c r="O72" i="32"/>
  <c r="N72" i="32"/>
  <c r="M72" i="32"/>
  <c r="L72" i="32"/>
  <c r="K72" i="32"/>
  <c r="J72" i="32"/>
  <c r="I72" i="32"/>
  <c r="H72" i="32"/>
  <c r="G72" i="32"/>
  <c r="F72" i="32"/>
  <c r="E72" i="32"/>
  <c r="D72" i="32"/>
  <c r="C72" i="32"/>
  <c r="F67" i="32"/>
  <c r="E67" i="32"/>
  <c r="D67" i="32"/>
  <c r="C67" i="32"/>
  <c r="U65" i="32"/>
  <c r="T65" i="32"/>
  <c r="T63" i="32" s="1"/>
  <c r="T71" i="32" s="1"/>
  <c r="T74" i="32" s="1"/>
  <c r="T22" i="32" s="1"/>
  <c r="Q65" i="32"/>
  <c r="P65" i="32"/>
  <c r="P63" i="32" s="1"/>
  <c r="P71" i="32" s="1"/>
  <c r="P74" i="32" s="1"/>
  <c r="P22" i="32" s="1"/>
  <c r="L65" i="32"/>
  <c r="K65" i="32"/>
  <c r="J65" i="32"/>
  <c r="I65" i="32"/>
  <c r="H65" i="32"/>
  <c r="G65" i="32"/>
  <c r="F65" i="32"/>
  <c r="E65" i="32"/>
  <c r="D65" i="32"/>
  <c r="C65" i="32"/>
  <c r="X63" i="32"/>
  <c r="X71" i="32" s="1"/>
  <c r="X74" i="32" s="1"/>
  <c r="X22" i="32" s="1"/>
  <c r="W63" i="32"/>
  <c r="W71" i="32" s="1"/>
  <c r="W74" i="32" s="1"/>
  <c r="W22" i="32" s="1"/>
  <c r="V63" i="32"/>
  <c r="V71" i="32" s="1"/>
  <c r="V74" i="32" s="1"/>
  <c r="V22" i="32" s="1"/>
  <c r="U63" i="32"/>
  <c r="U71" i="32" s="1"/>
  <c r="U74" i="32" s="1"/>
  <c r="U22" i="32" s="1"/>
  <c r="S63" i="32"/>
  <c r="S71" i="32" s="1"/>
  <c r="R63" i="32"/>
  <c r="R71" i="32" s="1"/>
  <c r="R74" i="32" s="1"/>
  <c r="R22" i="32" s="1"/>
  <c r="Q63" i="32"/>
  <c r="Q71" i="32" s="1"/>
  <c r="O63" i="32"/>
  <c r="O71" i="32" s="1"/>
  <c r="O74" i="32" s="1"/>
  <c r="O22" i="32" s="1"/>
  <c r="N63" i="32"/>
  <c r="N71" i="32" s="1"/>
  <c r="N74" i="32" s="1"/>
  <c r="N22" i="32" s="1"/>
  <c r="M63" i="32"/>
  <c r="M71" i="32" s="1"/>
  <c r="M74" i="32" s="1"/>
  <c r="M22" i="32" s="1"/>
  <c r="L63" i="32"/>
  <c r="L71" i="32" s="1"/>
  <c r="L74" i="32" s="1"/>
  <c r="K63" i="32"/>
  <c r="K71" i="32" s="1"/>
  <c r="K74" i="32" s="1"/>
  <c r="K22" i="32" s="1"/>
  <c r="J63" i="32"/>
  <c r="J71" i="32" s="1"/>
  <c r="J74" i="32" s="1"/>
  <c r="I63" i="32"/>
  <c r="I71" i="32" s="1"/>
  <c r="I74" i="32" s="1"/>
  <c r="I22" i="32" s="1"/>
  <c r="H63" i="32"/>
  <c r="H71" i="32" s="1"/>
  <c r="H74" i="32" s="1"/>
  <c r="G63" i="32"/>
  <c r="G71" i="32" s="1"/>
  <c r="G74" i="32" s="1"/>
  <c r="G22" i="32" s="1"/>
  <c r="F63" i="32"/>
  <c r="F71" i="32" s="1"/>
  <c r="F74" i="32" s="1"/>
  <c r="E63" i="32"/>
  <c r="E71" i="32" s="1"/>
  <c r="E74" i="32" s="1"/>
  <c r="E22" i="32" s="1"/>
  <c r="D63" i="32"/>
  <c r="D71" i="32" s="1"/>
  <c r="D74" i="32" s="1"/>
  <c r="C63" i="32"/>
  <c r="C71" i="32" s="1"/>
  <c r="C74" i="32" s="1"/>
  <c r="C22" i="32" s="1"/>
  <c r="J58" i="32"/>
  <c r="I58" i="32"/>
  <c r="I18" i="32" s="1"/>
  <c r="H58" i="32"/>
  <c r="G58" i="32"/>
  <c r="G18" i="32" s="1"/>
  <c r="F58" i="32"/>
  <c r="E58" i="32"/>
  <c r="E18" i="32" s="1"/>
  <c r="D58" i="32"/>
  <c r="C58" i="32"/>
  <c r="C18" i="32" s="1"/>
  <c r="G56" i="32"/>
  <c r="F56" i="32"/>
  <c r="F53" i="32" s="1"/>
  <c r="F52" i="32" s="1"/>
  <c r="E56" i="32"/>
  <c r="D56" i="32"/>
  <c r="D53" i="32" s="1"/>
  <c r="D52" i="32" s="1"/>
  <c r="C56" i="32"/>
  <c r="U54" i="32"/>
  <c r="T54" i="32"/>
  <c r="U53" i="32"/>
  <c r="U14" i="32" s="1"/>
  <c r="T53" i="32"/>
  <c r="Q53" i="32"/>
  <c r="Q14" i="32" s="1"/>
  <c r="P53" i="32"/>
  <c r="O53" i="32"/>
  <c r="O14" i="32" s="1"/>
  <c r="N53" i="32"/>
  <c r="M53" i="32"/>
  <c r="M14" i="32" s="1"/>
  <c r="L53" i="32"/>
  <c r="K53" i="32"/>
  <c r="K14" i="32" s="1"/>
  <c r="J53" i="32"/>
  <c r="I53" i="32"/>
  <c r="I14" i="32" s="1"/>
  <c r="H53" i="32"/>
  <c r="G53" i="32"/>
  <c r="G14" i="32" s="1"/>
  <c r="W52" i="32"/>
  <c r="V52" i="32"/>
  <c r="T52" i="32"/>
  <c r="S52" i="32"/>
  <c r="R52" i="32"/>
  <c r="P52" i="32"/>
  <c r="N52" i="32"/>
  <c r="L52" i="32"/>
  <c r="J52" i="32"/>
  <c r="H52" i="32"/>
  <c r="G50" i="32"/>
  <c r="F50" i="32"/>
  <c r="F11" i="32" s="1"/>
  <c r="E50" i="32"/>
  <c r="D50" i="32"/>
  <c r="C50" i="32"/>
  <c r="D49" i="32"/>
  <c r="D8" i="32" s="1"/>
  <c r="G48" i="32"/>
  <c r="F48" i="32"/>
  <c r="F7" i="32" s="1"/>
  <c r="E48" i="32"/>
  <c r="D48" i="32"/>
  <c r="D7" i="32" s="1"/>
  <c r="C48" i="32"/>
  <c r="U46" i="32"/>
  <c r="T46" i="32"/>
  <c r="Q46" i="32"/>
  <c r="P46" i="32"/>
  <c r="O46" i="32"/>
  <c r="N46" i="32"/>
  <c r="M46" i="32"/>
  <c r="L46" i="32"/>
  <c r="K46" i="32"/>
  <c r="J46" i="32"/>
  <c r="I46" i="32"/>
  <c r="H46" i="32"/>
  <c r="G46" i="32"/>
  <c r="F46" i="32"/>
  <c r="E46" i="32"/>
  <c r="D46" i="32"/>
  <c r="C46" i="32"/>
  <c r="W44" i="32"/>
  <c r="V44" i="32"/>
  <c r="U44" i="32"/>
  <c r="T44" i="32"/>
  <c r="S44" i="32"/>
  <c r="R44" i="32"/>
  <c r="Q44" i="32"/>
  <c r="P44" i="32"/>
  <c r="O44" i="32"/>
  <c r="N44" i="32"/>
  <c r="M44" i="32"/>
  <c r="L44" i="32"/>
  <c r="K44" i="32"/>
  <c r="J44" i="32"/>
  <c r="I44" i="32"/>
  <c r="H44" i="32"/>
  <c r="G44" i="32"/>
  <c r="F44" i="32"/>
  <c r="E44" i="32"/>
  <c r="D44" i="32"/>
  <c r="C44" i="32"/>
  <c r="U43" i="32"/>
  <c r="U41" i="32" s="1"/>
  <c r="T43" i="32"/>
  <c r="T41" i="32" s="1"/>
  <c r="R43" i="32"/>
  <c r="R41" i="32" s="1"/>
  <c r="Q43" i="32"/>
  <c r="Q41" i="32" s="1"/>
  <c r="P43" i="32"/>
  <c r="O43" i="32"/>
  <c r="O41" i="32" s="1"/>
  <c r="N43" i="32"/>
  <c r="N41" i="32" s="1"/>
  <c r="M43" i="32"/>
  <c r="M41" i="32" s="1"/>
  <c r="L43" i="32"/>
  <c r="K43" i="32"/>
  <c r="K41" i="32" s="1"/>
  <c r="J43" i="32"/>
  <c r="J41" i="32" s="1"/>
  <c r="I43" i="32"/>
  <c r="I41" i="32" s="1"/>
  <c r="H43" i="32"/>
  <c r="G43" i="32"/>
  <c r="G41" i="32" s="1"/>
  <c r="F43" i="32"/>
  <c r="F41" i="32" s="1"/>
  <c r="E43" i="32"/>
  <c r="E41" i="32" s="1"/>
  <c r="D43" i="32"/>
  <c r="C43" i="32"/>
  <c r="C41" i="32" s="1"/>
  <c r="W41" i="32"/>
  <c r="W51" i="32" s="1"/>
  <c r="W59" i="32" s="1"/>
  <c r="W21" i="32" s="1"/>
  <c r="V41" i="32"/>
  <c r="V51" i="32" s="1"/>
  <c r="S41" i="32"/>
  <c r="P41" i="32"/>
  <c r="P51" i="32" s="1"/>
  <c r="L41" i="32"/>
  <c r="L51" i="32" s="1"/>
  <c r="H41" i="32"/>
  <c r="H51" i="32" s="1"/>
  <c r="D41" i="32"/>
  <c r="W34" i="32"/>
  <c r="V34" i="32"/>
  <c r="U34" i="32"/>
  <c r="T34" i="32"/>
  <c r="S34" i="32"/>
  <c r="R34" i="32"/>
  <c r="Q34" i="32"/>
  <c r="P34" i="32"/>
  <c r="O34" i="32"/>
  <c r="N34" i="32"/>
  <c r="M34" i="32"/>
  <c r="L34" i="32"/>
  <c r="K34" i="32"/>
  <c r="J34" i="32"/>
  <c r="I34" i="32"/>
  <c r="H34" i="32"/>
  <c r="G34" i="32"/>
  <c r="F34" i="32"/>
  <c r="E34" i="32"/>
  <c r="D34" i="32"/>
  <c r="C34" i="32"/>
  <c r="E32" i="32"/>
  <c r="D32" i="32"/>
  <c r="E28" i="32"/>
  <c r="E26" i="32" s="1"/>
  <c r="E33" i="32" s="1"/>
  <c r="D28" i="32"/>
  <c r="C28" i="32"/>
  <c r="C26" i="32" s="1"/>
  <c r="C33" i="32" s="1"/>
  <c r="W26" i="32"/>
  <c r="W33" i="32" s="1"/>
  <c r="V26" i="32"/>
  <c r="V33" i="32" s="1"/>
  <c r="U26" i="32"/>
  <c r="U33" i="32" s="1"/>
  <c r="T26" i="32"/>
  <c r="T33" i="32" s="1"/>
  <c r="S26" i="32"/>
  <c r="S33" i="32" s="1"/>
  <c r="R26" i="32"/>
  <c r="R33" i="32" s="1"/>
  <c r="Q26" i="32"/>
  <c r="Q33" i="32" s="1"/>
  <c r="P26" i="32"/>
  <c r="P33" i="32" s="1"/>
  <c r="O26" i="32"/>
  <c r="O33" i="32" s="1"/>
  <c r="N26" i="32"/>
  <c r="N33" i="32" s="1"/>
  <c r="M26" i="32"/>
  <c r="M33" i="32" s="1"/>
  <c r="L26" i="32"/>
  <c r="L33" i="32" s="1"/>
  <c r="K26" i="32"/>
  <c r="K33" i="32" s="1"/>
  <c r="J26" i="32"/>
  <c r="J33" i="32" s="1"/>
  <c r="I26" i="32"/>
  <c r="I33" i="32" s="1"/>
  <c r="H26" i="32"/>
  <c r="H33" i="32" s="1"/>
  <c r="F26" i="32"/>
  <c r="F33" i="32" s="1"/>
  <c r="F37" i="32" s="1"/>
  <c r="F20" i="32" s="1"/>
  <c r="D26" i="32"/>
  <c r="D33" i="32" s="1"/>
  <c r="D37" i="32" s="1"/>
  <c r="L22" i="32"/>
  <c r="J22" i="32"/>
  <c r="H22" i="32"/>
  <c r="F22" i="32"/>
  <c r="D22" i="32"/>
  <c r="D20" i="32"/>
  <c r="X18" i="32"/>
  <c r="W18" i="32"/>
  <c r="V18" i="32"/>
  <c r="U18" i="32"/>
  <c r="T18" i="32"/>
  <c r="S18" i="32"/>
  <c r="R18" i="32"/>
  <c r="Q18" i="32"/>
  <c r="P18" i="32"/>
  <c r="O18" i="32"/>
  <c r="N18" i="32"/>
  <c r="M18" i="32"/>
  <c r="L18" i="32"/>
  <c r="K18" i="32"/>
  <c r="J18" i="32"/>
  <c r="H18" i="32"/>
  <c r="F18" i="32"/>
  <c r="D18" i="32"/>
  <c r="X17" i="32"/>
  <c r="W17" i="32"/>
  <c r="V17" i="32"/>
  <c r="U17" i="32"/>
  <c r="T17" i="32"/>
  <c r="S17" i="32"/>
  <c r="R17" i="32"/>
  <c r="Q17" i="32"/>
  <c r="P17" i="32"/>
  <c r="O17" i="32"/>
  <c r="N17" i="32"/>
  <c r="M17" i="32"/>
  <c r="L17" i="32"/>
  <c r="K17" i="32"/>
  <c r="J17" i="32"/>
  <c r="I17" i="32"/>
  <c r="H17" i="32"/>
  <c r="G17" i="32"/>
  <c r="F17" i="32"/>
  <c r="E17" i="32"/>
  <c r="D17" i="32"/>
  <c r="C17" i="32"/>
  <c r="X16" i="32"/>
  <c r="W16" i="32"/>
  <c r="V16" i="32"/>
  <c r="U16" i="32"/>
  <c r="T16" i="32"/>
  <c r="S16" i="32"/>
  <c r="R16" i="32"/>
  <c r="Q16" i="32"/>
  <c r="P16" i="32"/>
  <c r="O16" i="32"/>
  <c r="N16" i="32"/>
  <c r="M16" i="32"/>
  <c r="L16" i="32"/>
  <c r="K16" i="32"/>
  <c r="J16" i="32"/>
  <c r="I16" i="32"/>
  <c r="H16" i="32"/>
  <c r="G16" i="32"/>
  <c r="E16" i="32"/>
  <c r="C16" i="32"/>
  <c r="X15" i="32"/>
  <c r="W15" i="32"/>
  <c r="V15" i="32"/>
  <c r="U15" i="32"/>
  <c r="T15" i="32"/>
  <c r="S15" i="32"/>
  <c r="R15" i="32"/>
  <c r="Q15" i="32"/>
  <c r="P15" i="32"/>
  <c r="O15" i="32"/>
  <c r="N15" i="32"/>
  <c r="M15" i="32"/>
  <c r="L15" i="32"/>
  <c r="K15" i="32"/>
  <c r="J15" i="32"/>
  <c r="I15" i="32"/>
  <c r="H15" i="32"/>
  <c r="G15" i="32"/>
  <c r="F15" i="32"/>
  <c r="E15" i="32"/>
  <c r="D15" i="32"/>
  <c r="C15" i="32"/>
  <c r="X14" i="32"/>
  <c r="W14" i="32"/>
  <c r="V14" i="32"/>
  <c r="T14" i="32"/>
  <c r="T13" i="32" s="1"/>
  <c r="S14" i="32"/>
  <c r="R14" i="32"/>
  <c r="R13" i="32" s="1"/>
  <c r="P14" i="32"/>
  <c r="N14" i="32"/>
  <c r="N13" i="32" s="1"/>
  <c r="L14" i="32"/>
  <c r="J14" i="32"/>
  <c r="J13" i="32" s="1"/>
  <c r="H14" i="32"/>
  <c r="F14" i="32"/>
  <c r="X13" i="32"/>
  <c r="W13" i="32"/>
  <c r="V13" i="32"/>
  <c r="S13" i="32"/>
  <c r="P13" i="32"/>
  <c r="L13" i="32"/>
  <c r="X11" i="32"/>
  <c r="W11" i="32"/>
  <c r="V11" i="32"/>
  <c r="U11" i="32"/>
  <c r="T11" i="32"/>
  <c r="S11" i="32"/>
  <c r="R11" i="32"/>
  <c r="Q11" i="32"/>
  <c r="P11" i="32"/>
  <c r="O11" i="32"/>
  <c r="N11" i="32"/>
  <c r="M11" i="32"/>
  <c r="L11" i="32"/>
  <c r="K11" i="32"/>
  <c r="J11" i="32"/>
  <c r="I11" i="32"/>
  <c r="H11" i="32"/>
  <c r="G11" i="32"/>
  <c r="E11" i="32"/>
  <c r="C11" i="32"/>
  <c r="X10" i="32"/>
  <c r="W10" i="32"/>
  <c r="V10" i="32"/>
  <c r="U10" i="32"/>
  <c r="T10" i="32"/>
  <c r="S10" i="32"/>
  <c r="R10" i="32"/>
  <c r="Q10" i="32"/>
  <c r="P10" i="32"/>
  <c r="O10" i="32"/>
  <c r="N10" i="32"/>
  <c r="M10" i="32"/>
  <c r="L10" i="32"/>
  <c r="K10" i="32"/>
  <c r="J10" i="32"/>
  <c r="I10" i="32"/>
  <c r="H10" i="32"/>
  <c r="G10" i="32"/>
  <c r="F10" i="32"/>
  <c r="E10" i="32"/>
  <c r="D10" i="32"/>
  <c r="C10" i="32"/>
  <c r="X9" i="32"/>
  <c r="W9" i="32"/>
  <c r="V9" i="32"/>
  <c r="U9" i="32"/>
  <c r="T9" i="32"/>
  <c r="S9" i="32"/>
  <c r="R9" i="32"/>
  <c r="Q9" i="32"/>
  <c r="P9" i="32"/>
  <c r="O9" i="32"/>
  <c r="N9" i="32"/>
  <c r="M9" i="32"/>
  <c r="L9" i="32"/>
  <c r="K9" i="32"/>
  <c r="J9" i="32"/>
  <c r="I9" i="32"/>
  <c r="H9" i="32"/>
  <c r="G9" i="32"/>
  <c r="F9" i="32"/>
  <c r="E9" i="32"/>
  <c r="D9" i="32"/>
  <c r="C9" i="32"/>
  <c r="X8" i="32"/>
  <c r="W8" i="32"/>
  <c r="V8" i="32"/>
  <c r="U8" i="32"/>
  <c r="T8" i="32"/>
  <c r="S8" i="32"/>
  <c r="R8" i="32"/>
  <c r="Q8" i="32"/>
  <c r="P8" i="32"/>
  <c r="O8" i="32"/>
  <c r="N8" i="32"/>
  <c r="M8" i="32"/>
  <c r="L8" i="32"/>
  <c r="K8" i="32"/>
  <c r="J8" i="32"/>
  <c r="I8" i="32"/>
  <c r="H8" i="32"/>
  <c r="G8" i="32"/>
  <c r="F8" i="32"/>
  <c r="E8" i="32"/>
  <c r="C8" i="32"/>
  <c r="X7" i="32"/>
  <c r="W7" i="32"/>
  <c r="V7" i="32"/>
  <c r="U7" i="32"/>
  <c r="T7" i="32"/>
  <c r="S7" i="32"/>
  <c r="R7" i="32"/>
  <c r="Q7" i="32"/>
  <c r="P7" i="32"/>
  <c r="O7" i="32"/>
  <c r="N7" i="32"/>
  <c r="M7" i="32"/>
  <c r="L7" i="32"/>
  <c r="K7" i="32"/>
  <c r="J7" i="32"/>
  <c r="I7" i="32"/>
  <c r="H7" i="32"/>
  <c r="G7" i="32"/>
  <c r="E7" i="32"/>
  <c r="C7" i="32"/>
  <c r="X6" i="32"/>
  <c r="W6" i="32"/>
  <c r="V6" i="32"/>
  <c r="U6" i="32"/>
  <c r="T6" i="32"/>
  <c r="S6" i="32"/>
  <c r="R6" i="32"/>
  <c r="Q6" i="32"/>
  <c r="P6" i="32"/>
  <c r="O6" i="32"/>
  <c r="N6" i="32"/>
  <c r="M6" i="32"/>
  <c r="L6" i="32"/>
  <c r="K6" i="32"/>
  <c r="J6" i="32"/>
  <c r="I6" i="32"/>
  <c r="H6" i="32"/>
  <c r="G6" i="32"/>
  <c r="F6" i="32"/>
  <c r="E6" i="32"/>
  <c r="D6" i="32"/>
  <c r="C6" i="32"/>
  <c r="X5" i="32"/>
  <c r="W5" i="32"/>
  <c r="W12" i="32" s="1"/>
  <c r="W19" i="32" s="1"/>
  <c r="W76" i="32" s="1"/>
  <c r="V5" i="32"/>
  <c r="S5" i="32"/>
  <c r="L5" i="32"/>
  <c r="H5" i="32"/>
  <c r="X46" i="31"/>
  <c r="X50" i="31" s="1"/>
  <c r="W46" i="31"/>
  <c r="W50" i="31" s="1"/>
  <c r="V46" i="31"/>
  <c r="V50" i="31" s="1"/>
  <c r="U46" i="31"/>
  <c r="U50" i="31" s="1"/>
  <c r="T46" i="31"/>
  <c r="T50" i="31" s="1"/>
  <c r="S46" i="31"/>
  <c r="S50" i="31" s="1"/>
  <c r="R46" i="31"/>
  <c r="R50" i="31" s="1"/>
  <c r="Q46" i="31"/>
  <c r="Q50" i="31" s="1"/>
  <c r="P46" i="31"/>
  <c r="P50" i="31" s="1"/>
  <c r="O46" i="31"/>
  <c r="O50" i="31" s="1"/>
  <c r="N46" i="31"/>
  <c r="N50" i="31" s="1"/>
  <c r="M46" i="31"/>
  <c r="M50" i="31" s="1"/>
  <c r="L46" i="31"/>
  <c r="L50" i="31" s="1"/>
  <c r="K46" i="31"/>
  <c r="K50" i="31" s="1"/>
  <c r="J46" i="31"/>
  <c r="J50" i="31" s="1"/>
  <c r="I46" i="31"/>
  <c r="I50" i="31" s="1"/>
  <c r="H46" i="31"/>
  <c r="H50" i="31" s="1"/>
  <c r="G46" i="31"/>
  <c r="G50" i="31" s="1"/>
  <c r="F46" i="31"/>
  <c r="F50" i="31" s="1"/>
  <c r="E45" i="31"/>
  <c r="D45" i="31"/>
  <c r="C45" i="31"/>
  <c r="E40" i="31"/>
  <c r="D40" i="31"/>
  <c r="C40" i="31"/>
  <c r="X37" i="31"/>
  <c r="W37" i="31"/>
  <c r="V37" i="31"/>
  <c r="U37" i="31"/>
  <c r="T37" i="31"/>
  <c r="S37" i="31"/>
  <c r="R37" i="31"/>
  <c r="Q37" i="31"/>
  <c r="P37" i="31"/>
  <c r="O37" i="31"/>
  <c r="N37" i="31"/>
  <c r="M37" i="31"/>
  <c r="L37" i="31"/>
  <c r="K37" i="31"/>
  <c r="J37" i="31"/>
  <c r="I37" i="31"/>
  <c r="H37" i="31"/>
  <c r="G37" i="31"/>
  <c r="F37" i="31"/>
  <c r="E37" i="31"/>
  <c r="D37" i="31"/>
  <c r="C37" i="31"/>
  <c r="X10" i="31"/>
  <c r="X23" i="31" s="1"/>
  <c r="W10" i="31"/>
  <c r="W23" i="31" s="1"/>
  <c r="V10" i="31"/>
  <c r="V23" i="31" s="1"/>
  <c r="U10" i="31"/>
  <c r="U23" i="31" s="1"/>
  <c r="T10" i="31"/>
  <c r="T23" i="31" s="1"/>
  <c r="S10" i="31"/>
  <c r="S23" i="31" s="1"/>
  <c r="R10" i="31"/>
  <c r="R23" i="31" s="1"/>
  <c r="Q10" i="31"/>
  <c r="Q23" i="31" s="1"/>
  <c r="P10" i="31"/>
  <c r="P23" i="31" s="1"/>
  <c r="O10" i="31"/>
  <c r="O23" i="31" s="1"/>
  <c r="N10" i="31"/>
  <c r="N23" i="31" s="1"/>
  <c r="M10" i="31"/>
  <c r="M23" i="31" s="1"/>
  <c r="L10" i="31"/>
  <c r="L23" i="31" s="1"/>
  <c r="K10" i="31"/>
  <c r="K23" i="31" s="1"/>
  <c r="J10" i="31"/>
  <c r="J23" i="31" s="1"/>
  <c r="I10" i="31"/>
  <c r="I23" i="31" s="1"/>
  <c r="H10" i="31"/>
  <c r="H23" i="31" s="1"/>
  <c r="G10" i="31"/>
  <c r="G23" i="31" s="1"/>
  <c r="F10" i="31"/>
  <c r="F23" i="31" s="1"/>
  <c r="E10" i="31"/>
  <c r="E23" i="31" s="1"/>
  <c r="D10" i="31"/>
  <c r="D23" i="31" s="1"/>
  <c r="C10" i="31"/>
  <c r="C23" i="31" s="1"/>
  <c r="W27" i="30"/>
  <c r="V27" i="30"/>
  <c r="U27" i="30"/>
  <c r="T27" i="30"/>
  <c r="S27" i="30"/>
  <c r="R27" i="30"/>
  <c r="Q27" i="30"/>
  <c r="P27" i="30"/>
  <c r="O27" i="30"/>
  <c r="N27" i="30"/>
  <c r="M27" i="30"/>
  <c r="L27" i="30"/>
  <c r="K27" i="30"/>
  <c r="J27" i="30"/>
  <c r="I27" i="30"/>
  <c r="H27" i="30"/>
  <c r="G27" i="30"/>
  <c r="F27" i="30"/>
  <c r="E27" i="30"/>
  <c r="D27" i="30"/>
  <c r="C27" i="30"/>
  <c r="X24" i="30"/>
  <c r="X29" i="30" s="1"/>
  <c r="V33" i="30" s="1"/>
  <c r="W24" i="30"/>
  <c r="W29" i="30" s="1"/>
  <c r="U33" i="30" s="1"/>
  <c r="V24" i="30"/>
  <c r="V29" i="30" s="1"/>
  <c r="T33" i="30" s="1"/>
  <c r="U24" i="30"/>
  <c r="U29" i="30" s="1"/>
  <c r="S33" i="30" s="1"/>
  <c r="T24" i="30"/>
  <c r="T29" i="30" s="1"/>
  <c r="R33" i="30" s="1"/>
  <c r="S24" i="30"/>
  <c r="S29" i="30" s="1"/>
  <c r="Q33" i="30" s="1"/>
  <c r="R24" i="30"/>
  <c r="R29" i="30" s="1"/>
  <c r="P33" i="30" s="1"/>
  <c r="Q24" i="30"/>
  <c r="Q29" i="30" s="1"/>
  <c r="O33" i="30" s="1"/>
  <c r="P24" i="30"/>
  <c r="P29" i="30" s="1"/>
  <c r="N33" i="30" s="1"/>
  <c r="O24" i="30"/>
  <c r="O29" i="30" s="1"/>
  <c r="M33" i="30" s="1"/>
  <c r="N24" i="30"/>
  <c r="N29" i="30" s="1"/>
  <c r="L33" i="30" s="1"/>
  <c r="M24" i="30"/>
  <c r="M29" i="30" s="1"/>
  <c r="K33" i="30" s="1"/>
  <c r="L24" i="30"/>
  <c r="L29" i="30" s="1"/>
  <c r="J33" i="30" s="1"/>
  <c r="K24" i="30"/>
  <c r="K29" i="30" s="1"/>
  <c r="I33" i="30" s="1"/>
  <c r="J24" i="30"/>
  <c r="J29" i="30" s="1"/>
  <c r="H33" i="30" s="1"/>
  <c r="I24" i="30"/>
  <c r="I29" i="30" s="1"/>
  <c r="G33" i="30" s="1"/>
  <c r="H24" i="30"/>
  <c r="H29" i="30" s="1"/>
  <c r="F33" i="30" s="1"/>
  <c r="G24" i="30"/>
  <c r="G29" i="30" s="1"/>
  <c r="E33" i="30" s="1"/>
  <c r="F24" i="30"/>
  <c r="F29" i="30" s="1"/>
  <c r="D33" i="30" s="1"/>
  <c r="E24" i="30"/>
  <c r="E29" i="30" s="1"/>
  <c r="C33" i="30" s="1"/>
  <c r="D24" i="30"/>
  <c r="D29" i="30" s="1"/>
  <c r="B33" i="30" s="1"/>
  <c r="C24" i="30"/>
  <c r="C29" i="30" s="1"/>
  <c r="A33" i="30" s="1"/>
  <c r="W22" i="30"/>
  <c r="U32" i="30" s="1"/>
  <c r="V22" i="30"/>
  <c r="T32" i="30" s="1"/>
  <c r="U22" i="30"/>
  <c r="S32" i="30" s="1"/>
  <c r="T22" i="30"/>
  <c r="R32" i="30" s="1"/>
  <c r="S22" i="30"/>
  <c r="Q32" i="30" s="1"/>
  <c r="R22" i="30"/>
  <c r="P32" i="30" s="1"/>
  <c r="Q22" i="30"/>
  <c r="O32" i="30" s="1"/>
  <c r="P22" i="30"/>
  <c r="N32" i="30" s="1"/>
  <c r="N22" i="30"/>
  <c r="L32" i="30" s="1"/>
  <c r="M22" i="30"/>
  <c r="K32" i="30" s="1"/>
  <c r="L22" i="30"/>
  <c r="J32" i="30" s="1"/>
  <c r="K22" i="30"/>
  <c r="I32" i="30" s="1"/>
  <c r="J22" i="30"/>
  <c r="H32" i="30" s="1"/>
  <c r="I22" i="30"/>
  <c r="G32" i="30" s="1"/>
  <c r="H22" i="30"/>
  <c r="F32" i="30" s="1"/>
  <c r="G22" i="30"/>
  <c r="E32" i="30" s="1"/>
  <c r="F22" i="30"/>
  <c r="D32" i="30" s="1"/>
  <c r="E22" i="30"/>
  <c r="C32" i="30" s="1"/>
  <c r="D22" i="30"/>
  <c r="B32" i="30" s="1"/>
  <c r="C22" i="30"/>
  <c r="A32" i="30" s="1"/>
  <c r="O20" i="30"/>
  <c r="O22" i="30" s="1"/>
  <c r="M32" i="30" s="1"/>
  <c r="X18" i="30"/>
  <c r="X22" i="30" s="1"/>
  <c r="V32" i="30" s="1"/>
  <c r="J14" i="30"/>
  <c r="J12" i="30" s="1"/>
  <c r="X12" i="30"/>
  <c r="W12" i="30"/>
  <c r="V12" i="30"/>
  <c r="U12" i="30"/>
  <c r="T12" i="30"/>
  <c r="S12" i="30"/>
  <c r="R12" i="30"/>
  <c r="Q12" i="30"/>
  <c r="P12" i="30"/>
  <c r="O12" i="30"/>
  <c r="N12" i="30"/>
  <c r="M12" i="30"/>
  <c r="L12" i="30"/>
  <c r="K12" i="30"/>
  <c r="I12" i="30"/>
  <c r="H12" i="30"/>
  <c r="G12" i="30"/>
  <c r="F12" i="30"/>
  <c r="E12" i="30"/>
  <c r="D12" i="30"/>
  <c r="C12" i="30"/>
  <c r="X8" i="30"/>
  <c r="W8" i="30"/>
  <c r="V8" i="30"/>
  <c r="U8" i="30"/>
  <c r="T8" i="30"/>
  <c r="S8" i="30"/>
  <c r="R8" i="30"/>
  <c r="Q8" i="30"/>
  <c r="P8" i="30"/>
  <c r="O8" i="30"/>
  <c r="N8" i="30"/>
  <c r="M8" i="30"/>
  <c r="L8" i="30"/>
  <c r="K8" i="30"/>
  <c r="J8" i="30"/>
  <c r="I8" i="30"/>
  <c r="H8" i="30"/>
  <c r="G8" i="30"/>
  <c r="F8" i="30"/>
  <c r="E8" i="30"/>
  <c r="D8" i="30"/>
  <c r="C8" i="30"/>
  <c r="X5" i="30"/>
  <c r="X16" i="30" s="1"/>
  <c r="V31" i="30" s="1"/>
  <c r="W5" i="30"/>
  <c r="W16" i="30" s="1"/>
  <c r="U31" i="30" s="1"/>
  <c r="V5" i="30"/>
  <c r="V16" i="30" s="1"/>
  <c r="T31" i="30" s="1"/>
  <c r="U5" i="30"/>
  <c r="U16" i="30" s="1"/>
  <c r="S31" i="30" s="1"/>
  <c r="T5" i="30"/>
  <c r="T16" i="30" s="1"/>
  <c r="R31" i="30" s="1"/>
  <c r="S5" i="30"/>
  <c r="S16" i="30" s="1"/>
  <c r="Q31" i="30" s="1"/>
  <c r="R5" i="30"/>
  <c r="R16" i="30" s="1"/>
  <c r="P31" i="30" s="1"/>
  <c r="Q5" i="30"/>
  <c r="Q16" i="30" s="1"/>
  <c r="O31" i="30" s="1"/>
  <c r="P5" i="30"/>
  <c r="P16" i="30" s="1"/>
  <c r="N31" i="30" s="1"/>
  <c r="O5" i="30"/>
  <c r="O16" i="30" s="1"/>
  <c r="M31" i="30" s="1"/>
  <c r="N5" i="30"/>
  <c r="N16" i="30" s="1"/>
  <c r="L31" i="30" s="1"/>
  <c r="M5" i="30"/>
  <c r="M16" i="30" s="1"/>
  <c r="K31" i="30" s="1"/>
  <c r="L5" i="30"/>
  <c r="L16" i="30" s="1"/>
  <c r="J31" i="30" s="1"/>
  <c r="K5" i="30"/>
  <c r="K16" i="30" s="1"/>
  <c r="I31" i="30" s="1"/>
  <c r="J5" i="30"/>
  <c r="I5" i="30"/>
  <c r="I16" i="30" s="1"/>
  <c r="G31" i="30" s="1"/>
  <c r="H5" i="30"/>
  <c r="H16" i="30" s="1"/>
  <c r="F31" i="30" s="1"/>
  <c r="G5" i="30"/>
  <c r="G16" i="30" s="1"/>
  <c r="E31" i="30" s="1"/>
  <c r="F5" i="30"/>
  <c r="F16" i="30" s="1"/>
  <c r="D31" i="30" s="1"/>
  <c r="E5" i="30"/>
  <c r="E16" i="30" s="1"/>
  <c r="C31" i="30" s="1"/>
  <c r="D5" i="30"/>
  <c r="D16" i="30" s="1"/>
  <c r="B31" i="30" s="1"/>
  <c r="C5" i="30"/>
  <c r="C16" i="30" s="1"/>
  <c r="A31" i="30" s="1"/>
  <c r="X28" i="29"/>
  <c r="W28" i="29"/>
  <c r="V28" i="29"/>
  <c r="U28" i="29"/>
  <c r="T28" i="29"/>
  <c r="S28" i="29"/>
  <c r="R28" i="29"/>
  <c r="Q28" i="29"/>
  <c r="P28" i="29"/>
  <c r="O28" i="29"/>
  <c r="N28" i="29"/>
  <c r="M28" i="29"/>
  <c r="L28" i="29"/>
  <c r="K28" i="29"/>
  <c r="J28" i="29"/>
  <c r="I28" i="29"/>
  <c r="H28" i="29"/>
  <c r="G28" i="29"/>
  <c r="F28" i="29"/>
  <c r="E28" i="29"/>
  <c r="D28" i="29"/>
  <c r="C28" i="29"/>
  <c r="W20" i="29"/>
  <c r="W27" i="29" s="1"/>
  <c r="V20" i="29"/>
  <c r="V27" i="29" s="1"/>
  <c r="U20" i="29"/>
  <c r="U27" i="29" s="1"/>
  <c r="T20" i="29"/>
  <c r="T27" i="29" s="1"/>
  <c r="S20" i="29"/>
  <c r="S27" i="29" s="1"/>
  <c r="R20" i="29"/>
  <c r="R27" i="29" s="1"/>
  <c r="Q20" i="29"/>
  <c r="Q27" i="29" s="1"/>
  <c r="P20" i="29"/>
  <c r="P27" i="29" s="1"/>
  <c r="O20" i="29"/>
  <c r="O27" i="29" s="1"/>
  <c r="N20" i="29"/>
  <c r="N27" i="29" s="1"/>
  <c r="M20" i="29"/>
  <c r="M27" i="29" s="1"/>
  <c r="L20" i="29"/>
  <c r="L27" i="29" s="1"/>
  <c r="K20" i="29"/>
  <c r="K27" i="29" s="1"/>
  <c r="J20" i="29"/>
  <c r="J27" i="29" s="1"/>
  <c r="I20" i="29"/>
  <c r="I27" i="29" s="1"/>
  <c r="H20" i="29"/>
  <c r="H27" i="29" s="1"/>
  <c r="G20" i="29"/>
  <c r="G27" i="29" s="1"/>
  <c r="F20" i="29"/>
  <c r="F27" i="29" s="1"/>
  <c r="D20" i="29"/>
  <c r="D27" i="29" s="1"/>
  <c r="C20" i="29"/>
  <c r="C27" i="29" s="1"/>
  <c r="X19" i="29"/>
  <c r="X20" i="29" s="1"/>
  <c r="E19" i="29"/>
  <c r="E20" i="29" s="1"/>
  <c r="X18" i="28"/>
  <c r="X23" i="28" s="1"/>
  <c r="W18" i="28"/>
  <c r="W23" i="28" s="1"/>
  <c r="V18" i="28"/>
  <c r="V23" i="28" s="1"/>
  <c r="U18" i="28"/>
  <c r="U23" i="28" s="1"/>
  <c r="T18" i="28"/>
  <c r="T23" i="28" s="1"/>
  <c r="S18" i="28"/>
  <c r="S23" i="28" s="1"/>
  <c r="R18" i="28"/>
  <c r="R23" i="28" s="1"/>
  <c r="Q18" i="28"/>
  <c r="Q23" i="28" s="1"/>
  <c r="P18" i="28"/>
  <c r="P23" i="28" s="1"/>
  <c r="O18" i="28"/>
  <c r="O23" i="28" s="1"/>
  <c r="N18" i="28"/>
  <c r="N23" i="28" s="1"/>
  <c r="M18" i="28"/>
  <c r="M23" i="28" s="1"/>
  <c r="L18" i="28"/>
  <c r="L23" i="28" s="1"/>
  <c r="K18" i="28"/>
  <c r="K23" i="28" s="1"/>
  <c r="J18" i="28"/>
  <c r="J23" i="28" s="1"/>
  <c r="I18" i="28"/>
  <c r="I23" i="28" s="1"/>
  <c r="H18" i="28"/>
  <c r="H23" i="28" s="1"/>
  <c r="G18" i="28"/>
  <c r="G23" i="28" s="1"/>
  <c r="F18" i="28"/>
  <c r="F23" i="28" s="1"/>
  <c r="E18" i="28"/>
  <c r="E23" i="28" s="1"/>
  <c r="D18" i="28"/>
  <c r="D23" i="28" s="1"/>
  <c r="C18" i="28"/>
  <c r="C23" i="28" s="1"/>
  <c r="X13" i="28"/>
  <c r="X22" i="28" s="1"/>
  <c r="W13" i="28"/>
  <c r="W22" i="28" s="1"/>
  <c r="V13" i="28"/>
  <c r="V22" i="28" s="1"/>
  <c r="U13" i="28"/>
  <c r="U22" i="28" s="1"/>
  <c r="T13" i="28"/>
  <c r="T22" i="28" s="1"/>
  <c r="S13" i="28"/>
  <c r="S22" i="28" s="1"/>
  <c r="R13" i="28"/>
  <c r="R22" i="28" s="1"/>
  <c r="Q13" i="28"/>
  <c r="Q22" i="28" s="1"/>
  <c r="P13" i="28"/>
  <c r="P22" i="28" s="1"/>
  <c r="O13" i="28"/>
  <c r="O22" i="28" s="1"/>
  <c r="N13" i="28"/>
  <c r="N22" i="28" s="1"/>
  <c r="M13" i="28"/>
  <c r="M22" i="28" s="1"/>
  <c r="L13" i="28"/>
  <c r="L22" i="28" s="1"/>
  <c r="K13" i="28"/>
  <c r="K22" i="28" s="1"/>
  <c r="J13" i="28"/>
  <c r="J22" i="28" s="1"/>
  <c r="I13" i="28"/>
  <c r="I22" i="28" s="1"/>
  <c r="H13" i="28"/>
  <c r="H22" i="28" s="1"/>
  <c r="G13" i="28"/>
  <c r="G22" i="28" s="1"/>
  <c r="F13" i="28"/>
  <c r="F22" i="28" s="1"/>
  <c r="E13" i="28"/>
  <c r="E22" i="28" s="1"/>
  <c r="D13" i="28"/>
  <c r="D22" i="28" s="1"/>
  <c r="C13" i="28"/>
  <c r="C22" i="28" s="1"/>
  <c r="X44" i="27"/>
  <c r="X57" i="27" s="1"/>
  <c r="X70" i="27" s="1"/>
  <c r="W44" i="27"/>
  <c r="W57" i="27" s="1"/>
  <c r="W70" i="27" s="1"/>
  <c r="V44" i="27"/>
  <c r="V57" i="27" s="1"/>
  <c r="V70" i="27" s="1"/>
  <c r="U44" i="27"/>
  <c r="U57" i="27" s="1"/>
  <c r="U70" i="27" s="1"/>
  <c r="T44" i="27"/>
  <c r="T57" i="27" s="1"/>
  <c r="T70" i="27" s="1"/>
  <c r="S44" i="27"/>
  <c r="S57" i="27" s="1"/>
  <c r="S70" i="27" s="1"/>
  <c r="R44" i="27"/>
  <c r="R57" i="27" s="1"/>
  <c r="R70" i="27" s="1"/>
  <c r="Q44" i="27"/>
  <c r="Q57" i="27" s="1"/>
  <c r="Q70" i="27" s="1"/>
  <c r="P44" i="27"/>
  <c r="P57" i="27" s="1"/>
  <c r="P70" i="27" s="1"/>
  <c r="O44" i="27"/>
  <c r="O57" i="27" s="1"/>
  <c r="O70" i="27" s="1"/>
  <c r="N44" i="27"/>
  <c r="N57" i="27" s="1"/>
  <c r="N70" i="27" s="1"/>
  <c r="M44" i="27"/>
  <c r="M57" i="27" s="1"/>
  <c r="M70" i="27" s="1"/>
  <c r="L44" i="27"/>
  <c r="L57" i="27" s="1"/>
  <c r="L70" i="27" s="1"/>
  <c r="K44" i="27"/>
  <c r="K57" i="27" s="1"/>
  <c r="K70" i="27" s="1"/>
  <c r="J44" i="27"/>
  <c r="J57" i="27" s="1"/>
  <c r="J70" i="27" s="1"/>
  <c r="I44" i="27"/>
  <c r="I57" i="27" s="1"/>
  <c r="I70" i="27" s="1"/>
  <c r="H44" i="27"/>
  <c r="H57" i="27" s="1"/>
  <c r="H70" i="27" s="1"/>
  <c r="G44" i="27"/>
  <c r="G57" i="27" s="1"/>
  <c r="G70" i="27" s="1"/>
  <c r="F44" i="27"/>
  <c r="F57" i="27" s="1"/>
  <c r="F70" i="27" s="1"/>
  <c r="E44" i="27"/>
  <c r="E57" i="27" s="1"/>
  <c r="E70" i="27" s="1"/>
  <c r="D44" i="27"/>
  <c r="D57" i="27" s="1"/>
  <c r="D70" i="27" s="1"/>
  <c r="C44" i="27"/>
  <c r="C57" i="27" s="1"/>
  <c r="C70" i="27" s="1"/>
  <c r="X42" i="27"/>
  <c r="X55" i="27" s="1"/>
  <c r="X68" i="27" s="1"/>
  <c r="W42" i="27"/>
  <c r="W55" i="27" s="1"/>
  <c r="W68" i="27" s="1"/>
  <c r="V42" i="27"/>
  <c r="V55" i="27" s="1"/>
  <c r="V68" i="27" s="1"/>
  <c r="U42" i="27"/>
  <c r="U55" i="27" s="1"/>
  <c r="U68" i="27" s="1"/>
  <c r="T42" i="27"/>
  <c r="T55" i="27" s="1"/>
  <c r="T68" i="27" s="1"/>
  <c r="S42" i="27"/>
  <c r="S55" i="27" s="1"/>
  <c r="S68" i="27" s="1"/>
  <c r="R42" i="27"/>
  <c r="R55" i="27" s="1"/>
  <c r="R68" i="27" s="1"/>
  <c r="Q42" i="27"/>
  <c r="Q55" i="27" s="1"/>
  <c r="Q68" i="27" s="1"/>
  <c r="P42" i="27"/>
  <c r="P55" i="27" s="1"/>
  <c r="P68" i="27" s="1"/>
  <c r="O42" i="27"/>
  <c r="O55" i="27" s="1"/>
  <c r="O68" i="27" s="1"/>
  <c r="N42" i="27"/>
  <c r="N55" i="27" s="1"/>
  <c r="N68" i="27" s="1"/>
  <c r="M42" i="27"/>
  <c r="M55" i="27" s="1"/>
  <c r="M68" i="27" s="1"/>
  <c r="L42" i="27"/>
  <c r="L55" i="27" s="1"/>
  <c r="L68" i="27" s="1"/>
  <c r="K42" i="27"/>
  <c r="K55" i="27" s="1"/>
  <c r="K68" i="27" s="1"/>
  <c r="J42" i="27"/>
  <c r="J55" i="27" s="1"/>
  <c r="J68" i="27" s="1"/>
  <c r="I42" i="27"/>
  <c r="I55" i="27" s="1"/>
  <c r="I68" i="27" s="1"/>
  <c r="H42" i="27"/>
  <c r="H55" i="27" s="1"/>
  <c r="H68" i="27" s="1"/>
  <c r="G42" i="27"/>
  <c r="G55" i="27" s="1"/>
  <c r="G68" i="27" s="1"/>
  <c r="F42" i="27"/>
  <c r="F55" i="27" s="1"/>
  <c r="F68" i="27" s="1"/>
  <c r="E42" i="27"/>
  <c r="E55" i="27" s="1"/>
  <c r="E68" i="27" s="1"/>
  <c r="D42" i="27"/>
  <c r="D55" i="27" s="1"/>
  <c r="D68" i="27" s="1"/>
  <c r="C42" i="27"/>
  <c r="C55" i="27" s="1"/>
  <c r="C68" i="27" s="1"/>
  <c r="X41" i="27"/>
  <c r="X54" i="27" s="1"/>
  <c r="X67" i="27" s="1"/>
  <c r="W41" i="27"/>
  <c r="W54" i="27" s="1"/>
  <c r="W67" i="27" s="1"/>
  <c r="V41" i="27"/>
  <c r="V54" i="27" s="1"/>
  <c r="V67" i="27" s="1"/>
  <c r="U41" i="27"/>
  <c r="U54" i="27" s="1"/>
  <c r="U67" i="27" s="1"/>
  <c r="T41" i="27"/>
  <c r="T54" i="27" s="1"/>
  <c r="T67" i="27" s="1"/>
  <c r="S41" i="27"/>
  <c r="S54" i="27" s="1"/>
  <c r="S67" i="27" s="1"/>
  <c r="R41" i="27"/>
  <c r="R54" i="27" s="1"/>
  <c r="R67" i="27" s="1"/>
  <c r="Q41" i="27"/>
  <c r="Q54" i="27" s="1"/>
  <c r="Q67" i="27" s="1"/>
  <c r="P41" i="27"/>
  <c r="P54" i="27" s="1"/>
  <c r="P67" i="27" s="1"/>
  <c r="O41" i="27"/>
  <c r="O54" i="27" s="1"/>
  <c r="O67" i="27" s="1"/>
  <c r="N41" i="27"/>
  <c r="N54" i="27" s="1"/>
  <c r="N67" i="27" s="1"/>
  <c r="M41" i="27"/>
  <c r="M54" i="27" s="1"/>
  <c r="M67" i="27" s="1"/>
  <c r="L41" i="27"/>
  <c r="L54" i="27" s="1"/>
  <c r="L67" i="27" s="1"/>
  <c r="K41" i="27"/>
  <c r="K54" i="27" s="1"/>
  <c r="K67" i="27" s="1"/>
  <c r="J41" i="27"/>
  <c r="J54" i="27" s="1"/>
  <c r="J67" i="27" s="1"/>
  <c r="I41" i="27"/>
  <c r="I54" i="27" s="1"/>
  <c r="I67" i="27" s="1"/>
  <c r="H41" i="27"/>
  <c r="H54" i="27" s="1"/>
  <c r="H67" i="27" s="1"/>
  <c r="G41" i="27"/>
  <c r="G54" i="27" s="1"/>
  <c r="G67" i="27" s="1"/>
  <c r="F41" i="27"/>
  <c r="F54" i="27" s="1"/>
  <c r="F67" i="27" s="1"/>
  <c r="E41" i="27"/>
  <c r="E54" i="27" s="1"/>
  <c r="E67" i="27" s="1"/>
  <c r="D41" i="27"/>
  <c r="D54" i="27" s="1"/>
  <c r="D67" i="27" s="1"/>
  <c r="C41" i="27"/>
  <c r="C54" i="27" s="1"/>
  <c r="C67" i="27" s="1"/>
  <c r="X40" i="27"/>
  <c r="X53" i="27" s="1"/>
  <c r="W40" i="27"/>
  <c r="W53" i="27" s="1"/>
  <c r="V40" i="27"/>
  <c r="V53" i="27" s="1"/>
  <c r="U40" i="27"/>
  <c r="U53" i="27" s="1"/>
  <c r="T40" i="27"/>
  <c r="T53" i="27" s="1"/>
  <c r="S40" i="27"/>
  <c r="S53" i="27" s="1"/>
  <c r="R40" i="27"/>
  <c r="R53" i="27" s="1"/>
  <c r="Q40" i="27"/>
  <c r="Q53" i="27" s="1"/>
  <c r="P40" i="27"/>
  <c r="P53" i="27" s="1"/>
  <c r="O40" i="27"/>
  <c r="O53" i="27" s="1"/>
  <c r="N40" i="27"/>
  <c r="N53" i="27" s="1"/>
  <c r="M40" i="27"/>
  <c r="M53" i="27" s="1"/>
  <c r="L40" i="27"/>
  <c r="L53" i="27" s="1"/>
  <c r="K40" i="27"/>
  <c r="K53" i="27" s="1"/>
  <c r="J40" i="27"/>
  <c r="J53" i="27" s="1"/>
  <c r="I40" i="27"/>
  <c r="I53" i="27" s="1"/>
  <c r="H40" i="27"/>
  <c r="H53" i="27" s="1"/>
  <c r="G40" i="27"/>
  <c r="G53" i="27" s="1"/>
  <c r="F40" i="27"/>
  <c r="F53" i="27" s="1"/>
  <c r="E40" i="27"/>
  <c r="E53" i="27" s="1"/>
  <c r="D40" i="27"/>
  <c r="D53" i="27" s="1"/>
  <c r="C40" i="27"/>
  <c r="C53" i="27" s="1"/>
  <c r="X39" i="27"/>
  <c r="W39" i="27"/>
  <c r="V39" i="27"/>
  <c r="U39" i="27"/>
  <c r="T39" i="27"/>
  <c r="S39" i="27"/>
  <c r="R39" i="27"/>
  <c r="Q39" i="27"/>
  <c r="P39" i="27"/>
  <c r="O39" i="27"/>
  <c r="N39" i="27"/>
  <c r="M39" i="27"/>
  <c r="L39" i="27"/>
  <c r="K39" i="27"/>
  <c r="J39" i="27"/>
  <c r="I39" i="27"/>
  <c r="H39" i="27"/>
  <c r="G39" i="27"/>
  <c r="F39" i="27"/>
  <c r="E39" i="27"/>
  <c r="D39" i="27"/>
  <c r="C39" i="27"/>
  <c r="X38" i="27"/>
  <c r="X51" i="27" s="1"/>
  <c r="X64" i="27" s="1"/>
  <c r="W38" i="27"/>
  <c r="W51" i="27" s="1"/>
  <c r="W64" i="27" s="1"/>
  <c r="V38" i="27"/>
  <c r="V51" i="27" s="1"/>
  <c r="V64" i="27" s="1"/>
  <c r="U38" i="27"/>
  <c r="U51" i="27" s="1"/>
  <c r="U64" i="27" s="1"/>
  <c r="T38" i="27"/>
  <c r="T51" i="27" s="1"/>
  <c r="T64" i="27" s="1"/>
  <c r="S38" i="27"/>
  <c r="S51" i="27" s="1"/>
  <c r="S64" i="27" s="1"/>
  <c r="R38" i="27"/>
  <c r="R51" i="27" s="1"/>
  <c r="R64" i="27" s="1"/>
  <c r="Q38" i="27"/>
  <c r="Q51" i="27" s="1"/>
  <c r="Q64" i="27" s="1"/>
  <c r="P38" i="27"/>
  <c r="P51" i="27" s="1"/>
  <c r="P64" i="27" s="1"/>
  <c r="O38" i="27"/>
  <c r="O51" i="27" s="1"/>
  <c r="O64" i="27" s="1"/>
  <c r="N38" i="27"/>
  <c r="N51" i="27" s="1"/>
  <c r="N64" i="27" s="1"/>
  <c r="M38" i="27"/>
  <c r="M51" i="27" s="1"/>
  <c r="M64" i="27" s="1"/>
  <c r="L38" i="27"/>
  <c r="L51" i="27" s="1"/>
  <c r="L64" i="27" s="1"/>
  <c r="K38" i="27"/>
  <c r="K51" i="27" s="1"/>
  <c r="K64" i="27" s="1"/>
  <c r="J38" i="27"/>
  <c r="J51" i="27" s="1"/>
  <c r="J64" i="27" s="1"/>
  <c r="I38" i="27"/>
  <c r="I51" i="27" s="1"/>
  <c r="I64" i="27" s="1"/>
  <c r="H38" i="27"/>
  <c r="H51" i="27" s="1"/>
  <c r="H64" i="27" s="1"/>
  <c r="G38" i="27"/>
  <c r="G51" i="27" s="1"/>
  <c r="G64" i="27" s="1"/>
  <c r="F38" i="27"/>
  <c r="F51" i="27" s="1"/>
  <c r="F64" i="27" s="1"/>
  <c r="E38" i="27"/>
  <c r="E51" i="27" s="1"/>
  <c r="E64" i="27" s="1"/>
  <c r="D38" i="27"/>
  <c r="D51" i="27" s="1"/>
  <c r="D64" i="27" s="1"/>
  <c r="C38" i="27"/>
  <c r="C51" i="27" s="1"/>
  <c r="C64" i="27" s="1"/>
  <c r="X37" i="27"/>
  <c r="X50" i="27" s="1"/>
  <c r="X63" i="27" s="1"/>
  <c r="W37" i="27"/>
  <c r="W50" i="27" s="1"/>
  <c r="W63" i="27" s="1"/>
  <c r="V37" i="27"/>
  <c r="V50" i="27" s="1"/>
  <c r="V63" i="27" s="1"/>
  <c r="U37" i="27"/>
  <c r="U50" i="27" s="1"/>
  <c r="U63" i="27" s="1"/>
  <c r="T37" i="27"/>
  <c r="T50" i="27" s="1"/>
  <c r="T63" i="27" s="1"/>
  <c r="S37" i="27"/>
  <c r="S50" i="27" s="1"/>
  <c r="S63" i="27" s="1"/>
  <c r="R37" i="27"/>
  <c r="R50" i="27" s="1"/>
  <c r="R63" i="27" s="1"/>
  <c r="Q37" i="27"/>
  <c r="Q50" i="27" s="1"/>
  <c r="Q63" i="27" s="1"/>
  <c r="P37" i="27"/>
  <c r="P50" i="27" s="1"/>
  <c r="P63" i="27" s="1"/>
  <c r="O37" i="27"/>
  <c r="O50" i="27" s="1"/>
  <c r="O63" i="27" s="1"/>
  <c r="N37" i="27"/>
  <c r="N50" i="27" s="1"/>
  <c r="N63" i="27" s="1"/>
  <c r="M37" i="27"/>
  <c r="M50" i="27" s="1"/>
  <c r="M63" i="27" s="1"/>
  <c r="L37" i="27"/>
  <c r="L50" i="27" s="1"/>
  <c r="L63" i="27" s="1"/>
  <c r="K37" i="27"/>
  <c r="K50" i="27" s="1"/>
  <c r="K63" i="27" s="1"/>
  <c r="J37" i="27"/>
  <c r="J50" i="27" s="1"/>
  <c r="J63" i="27" s="1"/>
  <c r="I37" i="27"/>
  <c r="I50" i="27" s="1"/>
  <c r="I63" i="27" s="1"/>
  <c r="H37" i="27"/>
  <c r="H50" i="27" s="1"/>
  <c r="H63" i="27" s="1"/>
  <c r="G37" i="27"/>
  <c r="G50" i="27" s="1"/>
  <c r="G63" i="27" s="1"/>
  <c r="F37" i="27"/>
  <c r="F50" i="27" s="1"/>
  <c r="F63" i="27" s="1"/>
  <c r="E37" i="27"/>
  <c r="E50" i="27" s="1"/>
  <c r="E63" i="27" s="1"/>
  <c r="D37" i="27"/>
  <c r="D50" i="27" s="1"/>
  <c r="D63" i="27" s="1"/>
  <c r="C37" i="27"/>
  <c r="C50" i="27" s="1"/>
  <c r="C63" i="27" s="1"/>
  <c r="X36" i="27"/>
  <c r="X49" i="27" s="1"/>
  <c r="X62" i="27" s="1"/>
  <c r="W36" i="27"/>
  <c r="W49" i="27" s="1"/>
  <c r="W62" i="27" s="1"/>
  <c r="V36" i="27"/>
  <c r="V49" i="27" s="1"/>
  <c r="V62" i="27" s="1"/>
  <c r="U36" i="27"/>
  <c r="U49" i="27" s="1"/>
  <c r="U62" i="27" s="1"/>
  <c r="T36" i="27"/>
  <c r="T49" i="27" s="1"/>
  <c r="T62" i="27" s="1"/>
  <c r="S36" i="27"/>
  <c r="S49" i="27" s="1"/>
  <c r="S62" i="27" s="1"/>
  <c r="R36" i="27"/>
  <c r="R49" i="27" s="1"/>
  <c r="R62" i="27" s="1"/>
  <c r="Q36" i="27"/>
  <c r="Q49" i="27" s="1"/>
  <c r="Q62" i="27" s="1"/>
  <c r="P36" i="27"/>
  <c r="P49" i="27" s="1"/>
  <c r="P62" i="27" s="1"/>
  <c r="O36" i="27"/>
  <c r="O49" i="27" s="1"/>
  <c r="O62" i="27" s="1"/>
  <c r="N36" i="27"/>
  <c r="N49" i="27" s="1"/>
  <c r="N62" i="27" s="1"/>
  <c r="M36" i="27"/>
  <c r="M49" i="27" s="1"/>
  <c r="M62" i="27" s="1"/>
  <c r="L36" i="27"/>
  <c r="L49" i="27" s="1"/>
  <c r="L62" i="27" s="1"/>
  <c r="K36" i="27"/>
  <c r="K49" i="27" s="1"/>
  <c r="K62" i="27" s="1"/>
  <c r="J36" i="27"/>
  <c r="J49" i="27" s="1"/>
  <c r="J62" i="27" s="1"/>
  <c r="I36" i="27"/>
  <c r="I49" i="27" s="1"/>
  <c r="I62" i="27" s="1"/>
  <c r="H36" i="27"/>
  <c r="H49" i="27" s="1"/>
  <c r="H62" i="27" s="1"/>
  <c r="G36" i="27"/>
  <c r="G49" i="27" s="1"/>
  <c r="G62" i="27" s="1"/>
  <c r="F36" i="27"/>
  <c r="F49" i="27" s="1"/>
  <c r="F62" i="27" s="1"/>
  <c r="E36" i="27"/>
  <c r="E49" i="27" s="1"/>
  <c r="E62" i="27" s="1"/>
  <c r="D36" i="27"/>
  <c r="D49" i="27" s="1"/>
  <c r="D62" i="27" s="1"/>
  <c r="C36" i="27"/>
  <c r="C49" i="27" s="1"/>
  <c r="C62" i="27" s="1"/>
  <c r="X35" i="27"/>
  <c r="X48" i="27" s="1"/>
  <c r="W35" i="27"/>
  <c r="W48" i="27" s="1"/>
  <c r="V35" i="27"/>
  <c r="V48" i="27" s="1"/>
  <c r="U35" i="27"/>
  <c r="U48" i="27" s="1"/>
  <c r="T35" i="27"/>
  <c r="T48" i="27" s="1"/>
  <c r="S35" i="27"/>
  <c r="S48" i="27" s="1"/>
  <c r="R35" i="27"/>
  <c r="R48" i="27" s="1"/>
  <c r="Q35" i="27"/>
  <c r="Q48" i="27" s="1"/>
  <c r="P35" i="27"/>
  <c r="P48" i="27" s="1"/>
  <c r="O35" i="27"/>
  <c r="O48" i="27" s="1"/>
  <c r="N35" i="27"/>
  <c r="N48" i="27" s="1"/>
  <c r="M35" i="27"/>
  <c r="M48" i="27" s="1"/>
  <c r="L35" i="27"/>
  <c r="L48" i="27" s="1"/>
  <c r="K35" i="27"/>
  <c r="K48" i="27" s="1"/>
  <c r="J35" i="27"/>
  <c r="J48" i="27" s="1"/>
  <c r="I35" i="27"/>
  <c r="I48" i="27" s="1"/>
  <c r="H35" i="27"/>
  <c r="H48" i="27" s="1"/>
  <c r="G35" i="27"/>
  <c r="G48" i="27" s="1"/>
  <c r="F35" i="27"/>
  <c r="F48" i="27" s="1"/>
  <c r="E35" i="27"/>
  <c r="E48" i="27" s="1"/>
  <c r="D35" i="27"/>
  <c r="D48" i="27" s="1"/>
  <c r="C35" i="27"/>
  <c r="C48" i="27" s="1"/>
  <c r="X34" i="27"/>
  <c r="X43" i="27" s="1"/>
  <c r="X45" i="27" s="1"/>
  <c r="W34" i="27"/>
  <c r="W43" i="27" s="1"/>
  <c r="W45" i="27" s="1"/>
  <c r="V34" i="27"/>
  <c r="V43" i="27" s="1"/>
  <c r="V45" i="27" s="1"/>
  <c r="U34" i="27"/>
  <c r="U43" i="27" s="1"/>
  <c r="U45" i="27" s="1"/>
  <c r="T34" i="27"/>
  <c r="T43" i="27" s="1"/>
  <c r="T45" i="27" s="1"/>
  <c r="S34" i="27"/>
  <c r="S43" i="27" s="1"/>
  <c r="S45" i="27" s="1"/>
  <c r="R34" i="27"/>
  <c r="R43" i="27" s="1"/>
  <c r="R45" i="27" s="1"/>
  <c r="Q34" i="27"/>
  <c r="Q43" i="27" s="1"/>
  <c r="Q45" i="27" s="1"/>
  <c r="P34" i="27"/>
  <c r="P43" i="27" s="1"/>
  <c r="P45" i="27" s="1"/>
  <c r="O34" i="27"/>
  <c r="O43" i="27" s="1"/>
  <c r="O45" i="27" s="1"/>
  <c r="N34" i="27"/>
  <c r="N43" i="27" s="1"/>
  <c r="N45" i="27" s="1"/>
  <c r="M34" i="27"/>
  <c r="M43" i="27" s="1"/>
  <c r="M45" i="27" s="1"/>
  <c r="L34" i="27"/>
  <c r="L43" i="27" s="1"/>
  <c r="L45" i="27" s="1"/>
  <c r="K34" i="27"/>
  <c r="K43" i="27" s="1"/>
  <c r="K45" i="27" s="1"/>
  <c r="J34" i="27"/>
  <c r="J43" i="27" s="1"/>
  <c r="J45" i="27" s="1"/>
  <c r="I34" i="27"/>
  <c r="I43" i="27" s="1"/>
  <c r="I45" i="27" s="1"/>
  <c r="H34" i="27"/>
  <c r="H43" i="27" s="1"/>
  <c r="H45" i="27" s="1"/>
  <c r="G34" i="27"/>
  <c r="G43" i="27" s="1"/>
  <c r="G45" i="27" s="1"/>
  <c r="F34" i="27"/>
  <c r="F43" i="27" s="1"/>
  <c r="F45" i="27" s="1"/>
  <c r="E34" i="27"/>
  <c r="E43" i="27" s="1"/>
  <c r="E45" i="27" s="1"/>
  <c r="D34" i="27"/>
  <c r="D43" i="27" s="1"/>
  <c r="D45" i="27" s="1"/>
  <c r="C34" i="27"/>
  <c r="C43" i="27" s="1"/>
  <c r="C45" i="27" s="1"/>
  <c r="X26" i="27"/>
  <c r="W26" i="27"/>
  <c r="V26" i="27"/>
  <c r="U26" i="27"/>
  <c r="T26" i="27"/>
  <c r="S26" i="27"/>
  <c r="R26" i="27"/>
  <c r="Q26" i="27"/>
  <c r="P26" i="27"/>
  <c r="O26" i="27"/>
  <c r="N26" i="27"/>
  <c r="M26" i="27"/>
  <c r="L26" i="27"/>
  <c r="K26" i="27"/>
  <c r="J26" i="27"/>
  <c r="I26" i="27"/>
  <c r="H26" i="27"/>
  <c r="G26" i="27"/>
  <c r="F26" i="27"/>
  <c r="E26" i="27"/>
  <c r="D26" i="27"/>
  <c r="C26" i="27"/>
  <c r="X21" i="27"/>
  <c r="X30" i="27" s="1"/>
  <c r="X32" i="27" s="1"/>
  <c r="W21" i="27"/>
  <c r="W30" i="27" s="1"/>
  <c r="W32" i="27" s="1"/>
  <c r="V21" i="27"/>
  <c r="V30" i="27" s="1"/>
  <c r="V32" i="27" s="1"/>
  <c r="U21" i="27"/>
  <c r="U30" i="27" s="1"/>
  <c r="U32" i="27" s="1"/>
  <c r="T21" i="27"/>
  <c r="T30" i="27" s="1"/>
  <c r="T32" i="27" s="1"/>
  <c r="S21" i="27"/>
  <c r="S30" i="27" s="1"/>
  <c r="S32" i="27" s="1"/>
  <c r="R21" i="27"/>
  <c r="R30" i="27" s="1"/>
  <c r="R32" i="27" s="1"/>
  <c r="Q21" i="27"/>
  <c r="Q30" i="27" s="1"/>
  <c r="Q32" i="27" s="1"/>
  <c r="P21" i="27"/>
  <c r="P30" i="27" s="1"/>
  <c r="P32" i="27" s="1"/>
  <c r="O21" i="27"/>
  <c r="O30" i="27" s="1"/>
  <c r="O32" i="27" s="1"/>
  <c r="N21" i="27"/>
  <c r="N30" i="27" s="1"/>
  <c r="N32" i="27" s="1"/>
  <c r="M21" i="27"/>
  <c r="M30" i="27" s="1"/>
  <c r="M32" i="27" s="1"/>
  <c r="L21" i="27"/>
  <c r="L30" i="27" s="1"/>
  <c r="L32" i="27" s="1"/>
  <c r="K21" i="27"/>
  <c r="K30" i="27" s="1"/>
  <c r="K32" i="27" s="1"/>
  <c r="J21" i="27"/>
  <c r="J30" i="27" s="1"/>
  <c r="J32" i="27" s="1"/>
  <c r="I21" i="27"/>
  <c r="I30" i="27" s="1"/>
  <c r="I32" i="27" s="1"/>
  <c r="H21" i="27"/>
  <c r="H30" i="27" s="1"/>
  <c r="H32" i="27" s="1"/>
  <c r="G21" i="27"/>
  <c r="G30" i="27" s="1"/>
  <c r="G32" i="27" s="1"/>
  <c r="F21" i="27"/>
  <c r="F30" i="27" s="1"/>
  <c r="F32" i="27" s="1"/>
  <c r="E21" i="27"/>
  <c r="E30" i="27" s="1"/>
  <c r="E32" i="27" s="1"/>
  <c r="D21" i="27"/>
  <c r="D30" i="27" s="1"/>
  <c r="D32" i="27" s="1"/>
  <c r="C21" i="27"/>
  <c r="C30" i="27" s="1"/>
  <c r="C32" i="27" s="1"/>
  <c r="X10" i="27"/>
  <c r="W10" i="27"/>
  <c r="V10" i="27"/>
  <c r="U10" i="27"/>
  <c r="T10" i="27"/>
  <c r="S10" i="27"/>
  <c r="R10" i="27"/>
  <c r="Q10" i="27"/>
  <c r="P10" i="27"/>
  <c r="O10" i="27"/>
  <c r="N10" i="27"/>
  <c r="M10" i="27"/>
  <c r="L10" i="27"/>
  <c r="K10" i="27"/>
  <c r="J10" i="27"/>
  <c r="I10" i="27"/>
  <c r="H10" i="27"/>
  <c r="G10" i="27"/>
  <c r="F10" i="27"/>
  <c r="E10" i="27"/>
  <c r="D10" i="27"/>
  <c r="C10" i="27"/>
  <c r="X5" i="27"/>
  <c r="X14" i="27" s="1"/>
  <c r="X16" i="27" s="1"/>
  <c r="W5" i="27"/>
  <c r="W14" i="27" s="1"/>
  <c r="W16" i="27" s="1"/>
  <c r="V5" i="27"/>
  <c r="V14" i="27" s="1"/>
  <c r="V16" i="27" s="1"/>
  <c r="U5" i="27"/>
  <c r="U14" i="27" s="1"/>
  <c r="U16" i="27" s="1"/>
  <c r="T5" i="27"/>
  <c r="T14" i="27" s="1"/>
  <c r="T16" i="27" s="1"/>
  <c r="S5" i="27"/>
  <c r="S14" i="27" s="1"/>
  <c r="S16" i="27" s="1"/>
  <c r="R5" i="27"/>
  <c r="R14" i="27" s="1"/>
  <c r="R16" i="27" s="1"/>
  <c r="Q5" i="27"/>
  <c r="Q14" i="27" s="1"/>
  <c r="Q16" i="27" s="1"/>
  <c r="P5" i="27"/>
  <c r="P14" i="27" s="1"/>
  <c r="P16" i="27" s="1"/>
  <c r="O5" i="27"/>
  <c r="O14" i="27" s="1"/>
  <c r="O16" i="27" s="1"/>
  <c r="N5" i="27"/>
  <c r="N14" i="27" s="1"/>
  <c r="N16" i="27" s="1"/>
  <c r="M5" i="27"/>
  <c r="M14" i="27" s="1"/>
  <c r="M16" i="27" s="1"/>
  <c r="L5" i="27"/>
  <c r="L14" i="27" s="1"/>
  <c r="L16" i="27" s="1"/>
  <c r="K5" i="27"/>
  <c r="K14" i="27" s="1"/>
  <c r="K16" i="27" s="1"/>
  <c r="J5" i="27"/>
  <c r="J14" i="27" s="1"/>
  <c r="J16" i="27" s="1"/>
  <c r="I5" i="27"/>
  <c r="I14" i="27" s="1"/>
  <c r="I16" i="27" s="1"/>
  <c r="H5" i="27"/>
  <c r="H14" i="27" s="1"/>
  <c r="H16" i="27" s="1"/>
  <c r="G5" i="27"/>
  <c r="G14" i="27" s="1"/>
  <c r="G16" i="27" s="1"/>
  <c r="F5" i="27"/>
  <c r="F14" i="27" s="1"/>
  <c r="F16" i="27" s="1"/>
  <c r="E5" i="27"/>
  <c r="E14" i="27" s="1"/>
  <c r="E16" i="27" s="1"/>
  <c r="D5" i="27"/>
  <c r="D14" i="27" s="1"/>
  <c r="D16" i="27" s="1"/>
  <c r="C5" i="27"/>
  <c r="C14" i="27" s="1"/>
  <c r="C16" i="27" s="1"/>
  <c r="X44" i="26"/>
  <c r="W44" i="26"/>
  <c r="V44" i="26"/>
  <c r="U44" i="26"/>
  <c r="T44" i="26"/>
  <c r="S44" i="26"/>
  <c r="R44" i="26"/>
  <c r="Q44" i="26"/>
  <c r="P44" i="26"/>
  <c r="O44" i="26"/>
  <c r="N44" i="26"/>
  <c r="M44" i="26"/>
  <c r="L44" i="26"/>
  <c r="K44" i="26"/>
  <c r="J44" i="26"/>
  <c r="I44" i="26"/>
  <c r="H44" i="26"/>
  <c r="G44" i="26"/>
  <c r="F44" i="26"/>
  <c r="E44" i="26"/>
  <c r="D44" i="26"/>
  <c r="C44" i="26"/>
  <c r="X42" i="26"/>
  <c r="W42" i="26"/>
  <c r="V42" i="26"/>
  <c r="U42" i="26"/>
  <c r="T42" i="26"/>
  <c r="S42" i="26"/>
  <c r="R42" i="26"/>
  <c r="Q42" i="26"/>
  <c r="P42" i="26"/>
  <c r="O42" i="26"/>
  <c r="N42" i="26"/>
  <c r="M42" i="26"/>
  <c r="L42" i="26"/>
  <c r="K42" i="26"/>
  <c r="J42" i="26"/>
  <c r="I42" i="26"/>
  <c r="H42" i="26"/>
  <c r="G42" i="26"/>
  <c r="F42" i="26"/>
  <c r="E42" i="26"/>
  <c r="D42" i="26"/>
  <c r="C42" i="26"/>
  <c r="X41" i="26"/>
  <c r="W41" i="26"/>
  <c r="V41" i="26"/>
  <c r="U41" i="26"/>
  <c r="T41" i="26"/>
  <c r="S41" i="26"/>
  <c r="R41" i="26"/>
  <c r="Q41" i="26"/>
  <c r="P41" i="26"/>
  <c r="O41" i="26"/>
  <c r="N41" i="26"/>
  <c r="M41" i="26"/>
  <c r="L41" i="26"/>
  <c r="K41" i="26"/>
  <c r="J41" i="26"/>
  <c r="I41" i="26"/>
  <c r="H41" i="26"/>
  <c r="G41" i="26"/>
  <c r="F41" i="26"/>
  <c r="E41" i="26"/>
  <c r="D41" i="26"/>
  <c r="C41" i="26"/>
  <c r="X40" i="26"/>
  <c r="W40" i="26"/>
  <c r="V40" i="26"/>
  <c r="U40" i="26"/>
  <c r="T40" i="26"/>
  <c r="S40" i="26"/>
  <c r="R40" i="26"/>
  <c r="Q40" i="26"/>
  <c r="P40" i="26"/>
  <c r="O40" i="26"/>
  <c r="N40" i="26"/>
  <c r="M40" i="26"/>
  <c r="L40" i="26"/>
  <c r="K40" i="26"/>
  <c r="J40" i="26"/>
  <c r="I40" i="26"/>
  <c r="H40" i="26"/>
  <c r="G40" i="26"/>
  <c r="F40" i="26"/>
  <c r="E40" i="26"/>
  <c r="D40" i="26"/>
  <c r="C40" i="26"/>
  <c r="X39" i="26"/>
  <c r="W39" i="26"/>
  <c r="V39" i="26"/>
  <c r="U39" i="26"/>
  <c r="T39" i="26"/>
  <c r="S39" i="26"/>
  <c r="R39" i="26"/>
  <c r="Q39" i="26"/>
  <c r="P39" i="26"/>
  <c r="O39" i="26"/>
  <c r="N39" i="26"/>
  <c r="M39" i="26"/>
  <c r="L39" i="26"/>
  <c r="K39" i="26"/>
  <c r="J39" i="26"/>
  <c r="I39" i="26"/>
  <c r="H39" i="26"/>
  <c r="G39" i="26"/>
  <c r="F39" i="26"/>
  <c r="E39" i="26"/>
  <c r="D39" i="26"/>
  <c r="C39" i="26"/>
  <c r="X38" i="26"/>
  <c r="W38" i="26"/>
  <c r="V38" i="26"/>
  <c r="U38" i="26"/>
  <c r="T38" i="26"/>
  <c r="S38" i="26"/>
  <c r="R38" i="26"/>
  <c r="Q38" i="26"/>
  <c r="P38" i="26"/>
  <c r="O38" i="26"/>
  <c r="N38" i="26"/>
  <c r="M38" i="26"/>
  <c r="L38" i="26"/>
  <c r="K38" i="26"/>
  <c r="J38" i="26"/>
  <c r="I38" i="26"/>
  <c r="H38" i="26"/>
  <c r="G38" i="26"/>
  <c r="F38" i="26"/>
  <c r="E38" i="26"/>
  <c r="D38" i="26"/>
  <c r="C38" i="26"/>
  <c r="X37" i="26"/>
  <c r="W37" i="26"/>
  <c r="V37" i="26"/>
  <c r="U37" i="26"/>
  <c r="T37" i="26"/>
  <c r="S37" i="26"/>
  <c r="R37" i="26"/>
  <c r="Q37" i="26"/>
  <c r="P37" i="26"/>
  <c r="O37" i="26"/>
  <c r="N37" i="26"/>
  <c r="M37" i="26"/>
  <c r="L37" i="26"/>
  <c r="K37" i="26"/>
  <c r="J37" i="26"/>
  <c r="I37" i="26"/>
  <c r="H37" i="26"/>
  <c r="G37" i="26"/>
  <c r="F37" i="26"/>
  <c r="E37" i="26"/>
  <c r="D37" i="26"/>
  <c r="C37" i="26"/>
  <c r="X36" i="26"/>
  <c r="W36" i="26"/>
  <c r="V36" i="26"/>
  <c r="U36" i="26"/>
  <c r="T36" i="26"/>
  <c r="S36" i="26"/>
  <c r="R36" i="26"/>
  <c r="Q36" i="26"/>
  <c r="P36" i="26"/>
  <c r="O36" i="26"/>
  <c r="N36" i="26"/>
  <c r="M36" i="26"/>
  <c r="L36" i="26"/>
  <c r="K36" i="26"/>
  <c r="J36" i="26"/>
  <c r="I36" i="26"/>
  <c r="H36" i="26"/>
  <c r="G36" i="26"/>
  <c r="F36" i="26"/>
  <c r="E36" i="26"/>
  <c r="D36" i="26"/>
  <c r="C36" i="26"/>
  <c r="X35" i="26"/>
  <c r="W35" i="26"/>
  <c r="V35" i="26"/>
  <c r="U35" i="26"/>
  <c r="T35" i="26"/>
  <c r="S35" i="26"/>
  <c r="R35" i="26"/>
  <c r="Q35" i="26"/>
  <c r="P35" i="26"/>
  <c r="O35" i="26"/>
  <c r="N35" i="26"/>
  <c r="M35" i="26"/>
  <c r="L35" i="26"/>
  <c r="K35" i="26"/>
  <c r="J35" i="26"/>
  <c r="I35" i="26"/>
  <c r="H35" i="26"/>
  <c r="G35" i="26"/>
  <c r="F35" i="26"/>
  <c r="E35" i="26"/>
  <c r="D35" i="26"/>
  <c r="C35" i="26"/>
  <c r="X34" i="26"/>
  <c r="X43" i="26" s="1"/>
  <c r="X45" i="26" s="1"/>
  <c r="W34" i="26"/>
  <c r="W43" i="26" s="1"/>
  <c r="W45" i="26" s="1"/>
  <c r="V34" i="26"/>
  <c r="V43" i="26" s="1"/>
  <c r="V45" i="26" s="1"/>
  <c r="U34" i="26"/>
  <c r="U43" i="26" s="1"/>
  <c r="U45" i="26" s="1"/>
  <c r="T34" i="26"/>
  <c r="T43" i="26" s="1"/>
  <c r="T45" i="26" s="1"/>
  <c r="S34" i="26"/>
  <c r="S43" i="26" s="1"/>
  <c r="S45" i="26" s="1"/>
  <c r="R34" i="26"/>
  <c r="R43" i="26" s="1"/>
  <c r="R45" i="26" s="1"/>
  <c r="Q34" i="26"/>
  <c r="Q43" i="26" s="1"/>
  <c r="Q45" i="26" s="1"/>
  <c r="P34" i="26"/>
  <c r="P43" i="26" s="1"/>
  <c r="P45" i="26" s="1"/>
  <c r="O34" i="26"/>
  <c r="O43" i="26" s="1"/>
  <c r="O45" i="26" s="1"/>
  <c r="N34" i="26"/>
  <c r="N43" i="26" s="1"/>
  <c r="N45" i="26" s="1"/>
  <c r="M34" i="26"/>
  <c r="M43" i="26" s="1"/>
  <c r="M45" i="26" s="1"/>
  <c r="L34" i="26"/>
  <c r="L43" i="26" s="1"/>
  <c r="L45" i="26" s="1"/>
  <c r="K34" i="26"/>
  <c r="K43" i="26" s="1"/>
  <c r="K45" i="26" s="1"/>
  <c r="J34" i="26"/>
  <c r="J43" i="26" s="1"/>
  <c r="J45" i="26" s="1"/>
  <c r="I34" i="26"/>
  <c r="I43" i="26" s="1"/>
  <c r="I45" i="26" s="1"/>
  <c r="H34" i="26"/>
  <c r="H43" i="26" s="1"/>
  <c r="H45" i="26" s="1"/>
  <c r="G34" i="26"/>
  <c r="G43" i="26" s="1"/>
  <c r="G45" i="26" s="1"/>
  <c r="F34" i="26"/>
  <c r="F43" i="26" s="1"/>
  <c r="F45" i="26" s="1"/>
  <c r="E34" i="26"/>
  <c r="E43" i="26" s="1"/>
  <c r="E45" i="26" s="1"/>
  <c r="D34" i="26"/>
  <c r="D43" i="26" s="1"/>
  <c r="D45" i="26" s="1"/>
  <c r="C34" i="26"/>
  <c r="C43" i="26" s="1"/>
  <c r="C45" i="26" s="1"/>
  <c r="X26" i="26"/>
  <c r="W26" i="26"/>
  <c r="V26" i="26"/>
  <c r="U26" i="26"/>
  <c r="T26" i="26"/>
  <c r="S26" i="26"/>
  <c r="R26" i="26"/>
  <c r="Q26" i="26"/>
  <c r="P26" i="26"/>
  <c r="O26" i="26"/>
  <c r="N26" i="26"/>
  <c r="M26" i="26"/>
  <c r="L26" i="26"/>
  <c r="K26" i="26"/>
  <c r="J26" i="26"/>
  <c r="I26" i="26"/>
  <c r="H26" i="26"/>
  <c r="G26" i="26"/>
  <c r="F26" i="26"/>
  <c r="E26" i="26"/>
  <c r="D26" i="26"/>
  <c r="C26" i="26"/>
  <c r="X21" i="26"/>
  <c r="X30" i="26" s="1"/>
  <c r="X32" i="26" s="1"/>
  <c r="W21" i="26"/>
  <c r="W30" i="26" s="1"/>
  <c r="W32" i="26" s="1"/>
  <c r="V21" i="26"/>
  <c r="V30" i="26" s="1"/>
  <c r="V32" i="26" s="1"/>
  <c r="U21" i="26"/>
  <c r="U30" i="26" s="1"/>
  <c r="U32" i="26" s="1"/>
  <c r="T21" i="26"/>
  <c r="T30" i="26" s="1"/>
  <c r="T32" i="26" s="1"/>
  <c r="S21" i="26"/>
  <c r="S30" i="26" s="1"/>
  <c r="S32" i="26" s="1"/>
  <c r="R21" i="26"/>
  <c r="R30" i="26" s="1"/>
  <c r="R32" i="26" s="1"/>
  <c r="Q21" i="26"/>
  <c r="Q30" i="26" s="1"/>
  <c r="Q32" i="26" s="1"/>
  <c r="P21" i="26"/>
  <c r="P30" i="26" s="1"/>
  <c r="P32" i="26" s="1"/>
  <c r="O21" i="26"/>
  <c r="O30" i="26" s="1"/>
  <c r="O32" i="26" s="1"/>
  <c r="N21" i="26"/>
  <c r="N30" i="26" s="1"/>
  <c r="N32" i="26" s="1"/>
  <c r="M21" i="26"/>
  <c r="M30" i="26" s="1"/>
  <c r="M32" i="26" s="1"/>
  <c r="L21" i="26"/>
  <c r="L30" i="26" s="1"/>
  <c r="L32" i="26" s="1"/>
  <c r="K21" i="26"/>
  <c r="K30" i="26" s="1"/>
  <c r="K32" i="26" s="1"/>
  <c r="J21" i="26"/>
  <c r="J30" i="26" s="1"/>
  <c r="J32" i="26" s="1"/>
  <c r="I21" i="26"/>
  <c r="I30" i="26" s="1"/>
  <c r="I32" i="26" s="1"/>
  <c r="H21" i="26"/>
  <c r="H30" i="26" s="1"/>
  <c r="H32" i="26" s="1"/>
  <c r="G21" i="26"/>
  <c r="G30" i="26" s="1"/>
  <c r="G32" i="26" s="1"/>
  <c r="F21" i="26"/>
  <c r="F30" i="26" s="1"/>
  <c r="F32" i="26" s="1"/>
  <c r="E21" i="26"/>
  <c r="E30" i="26" s="1"/>
  <c r="E32" i="26" s="1"/>
  <c r="D21" i="26"/>
  <c r="D30" i="26" s="1"/>
  <c r="D32" i="26" s="1"/>
  <c r="C21" i="26"/>
  <c r="C30" i="26" s="1"/>
  <c r="C32" i="26" s="1"/>
  <c r="U24" i="25"/>
  <c r="J22" i="25"/>
  <c r="R20" i="25"/>
  <c r="N19" i="25"/>
  <c r="N17" i="25"/>
  <c r="N16" i="25" s="1"/>
  <c r="X16" i="25"/>
  <c r="W16" i="25"/>
  <c r="V16" i="25"/>
  <c r="U16" i="25"/>
  <c r="T16" i="25"/>
  <c r="S16" i="25"/>
  <c r="R16" i="25"/>
  <c r="Q16" i="25"/>
  <c r="P16" i="25"/>
  <c r="O16" i="25"/>
  <c r="M16" i="25"/>
  <c r="L16" i="25"/>
  <c r="K16" i="25"/>
  <c r="J16" i="25"/>
  <c r="I16" i="25"/>
  <c r="H16" i="25"/>
  <c r="G16" i="25"/>
  <c r="F16" i="25"/>
  <c r="E16" i="25"/>
  <c r="D16" i="25"/>
  <c r="C16" i="25"/>
  <c r="V13" i="25"/>
  <c r="U13" i="25"/>
  <c r="T11" i="25"/>
  <c r="X10" i="25"/>
  <c r="W10" i="25"/>
  <c r="V10" i="25"/>
  <c r="U10" i="25"/>
  <c r="T10" i="25"/>
  <c r="S10" i="25"/>
  <c r="R10" i="25"/>
  <c r="Q10" i="25"/>
  <c r="P10" i="25"/>
  <c r="O10" i="25"/>
  <c r="N10" i="25"/>
  <c r="M10" i="25"/>
  <c r="L10" i="25"/>
  <c r="K10" i="25"/>
  <c r="J10" i="25"/>
  <c r="I10" i="25"/>
  <c r="H10" i="25"/>
  <c r="G10" i="25"/>
  <c r="F10" i="25"/>
  <c r="D10" i="25"/>
  <c r="C10" i="25"/>
  <c r="E8" i="25"/>
  <c r="E10" i="25" s="1"/>
  <c r="X7" i="25"/>
  <c r="X15" i="25" s="1"/>
  <c r="W7" i="25"/>
  <c r="W15" i="25" s="1"/>
  <c r="V7" i="25"/>
  <c r="U7" i="25"/>
  <c r="T7" i="25"/>
  <c r="S7" i="25"/>
  <c r="S15" i="25" s="1"/>
  <c r="R7" i="25"/>
  <c r="R15" i="25" s="1"/>
  <c r="Q7" i="25"/>
  <c r="Q15" i="25" s="1"/>
  <c r="P7" i="25"/>
  <c r="P15" i="25" s="1"/>
  <c r="O7" i="25"/>
  <c r="O15" i="25" s="1"/>
  <c r="N7" i="25"/>
  <c r="N15" i="25" s="1"/>
  <c r="M7" i="25"/>
  <c r="M15" i="25" s="1"/>
  <c r="L7" i="25"/>
  <c r="L15" i="25" s="1"/>
  <c r="K7" i="25"/>
  <c r="K15" i="25" s="1"/>
  <c r="J7" i="25"/>
  <c r="J15" i="25" s="1"/>
  <c r="I7" i="25"/>
  <c r="I15" i="25" s="1"/>
  <c r="H7" i="25"/>
  <c r="H15" i="25" s="1"/>
  <c r="G7" i="25"/>
  <c r="G15" i="25" s="1"/>
  <c r="F7" i="25"/>
  <c r="F15" i="25" s="1"/>
  <c r="E7" i="25"/>
  <c r="E15" i="25" s="1"/>
  <c r="D7" i="25"/>
  <c r="C6" i="25"/>
  <c r="C7" i="25" s="1"/>
  <c r="X47" i="24"/>
  <c r="W47" i="24"/>
  <c r="V47" i="24"/>
  <c r="U47" i="24"/>
  <c r="T47" i="24"/>
  <c r="S47" i="24"/>
  <c r="R47" i="24"/>
  <c r="Q47" i="24"/>
  <c r="P47" i="24"/>
  <c r="O47" i="24"/>
  <c r="N47" i="24"/>
  <c r="M47" i="24"/>
  <c r="L47" i="24"/>
  <c r="K47" i="24"/>
  <c r="J47" i="24"/>
  <c r="I47" i="24"/>
  <c r="H47" i="24"/>
  <c r="G47" i="24"/>
  <c r="F47" i="24"/>
  <c r="E47" i="24"/>
  <c r="D47" i="24"/>
  <c r="C47" i="24"/>
  <c r="X46" i="24"/>
  <c r="W46" i="24"/>
  <c r="V46" i="24"/>
  <c r="U46" i="24"/>
  <c r="T46" i="24"/>
  <c r="S46" i="24"/>
  <c r="R46" i="24"/>
  <c r="Q46" i="24"/>
  <c r="P46" i="24"/>
  <c r="O46" i="24"/>
  <c r="N46" i="24"/>
  <c r="M46" i="24"/>
  <c r="L46" i="24"/>
  <c r="K46" i="24"/>
  <c r="J46" i="24"/>
  <c r="I46" i="24"/>
  <c r="H46" i="24"/>
  <c r="G46" i="24"/>
  <c r="F46" i="24"/>
  <c r="E46" i="24"/>
  <c r="D46" i="24"/>
  <c r="C46" i="24"/>
  <c r="X41" i="24"/>
  <c r="W41" i="24"/>
  <c r="V41" i="24"/>
  <c r="U41" i="24"/>
  <c r="T41" i="24"/>
  <c r="S41" i="24"/>
  <c r="R41" i="24"/>
  <c r="Q41" i="24"/>
  <c r="P41" i="24"/>
  <c r="O41" i="24"/>
  <c r="N41" i="24"/>
  <c r="M41" i="24"/>
  <c r="L41" i="24"/>
  <c r="K41" i="24"/>
  <c r="J41" i="24"/>
  <c r="I41" i="24"/>
  <c r="H41" i="24"/>
  <c r="G41" i="24"/>
  <c r="F41" i="24"/>
  <c r="E41" i="24"/>
  <c r="D41" i="24"/>
  <c r="C41" i="24"/>
  <c r="X38" i="24"/>
  <c r="X39" i="24" s="1"/>
  <c r="W38" i="24"/>
  <c r="W39" i="24" s="1"/>
  <c r="V38" i="24"/>
  <c r="V39" i="24" s="1"/>
  <c r="U38" i="24"/>
  <c r="U39" i="24" s="1"/>
  <c r="T38" i="24"/>
  <c r="T39" i="24" s="1"/>
  <c r="S38" i="24"/>
  <c r="S39" i="24" s="1"/>
  <c r="R38" i="24"/>
  <c r="R39" i="24" s="1"/>
  <c r="Q38" i="24"/>
  <c r="Q39" i="24" s="1"/>
  <c r="P38" i="24"/>
  <c r="P39" i="24" s="1"/>
  <c r="O38" i="24"/>
  <c r="O39" i="24" s="1"/>
  <c r="N38" i="24"/>
  <c r="N39" i="24" s="1"/>
  <c r="M38" i="24"/>
  <c r="M39" i="24" s="1"/>
  <c r="L38" i="24"/>
  <c r="L39" i="24" s="1"/>
  <c r="K38" i="24"/>
  <c r="K39" i="24" s="1"/>
  <c r="J38" i="24"/>
  <c r="J39" i="24" s="1"/>
  <c r="I38" i="24"/>
  <c r="I39" i="24" s="1"/>
  <c r="H38" i="24"/>
  <c r="H39" i="24" s="1"/>
  <c r="G38" i="24"/>
  <c r="G39" i="24" s="1"/>
  <c r="F38" i="24"/>
  <c r="F39" i="24" s="1"/>
  <c r="E38" i="24"/>
  <c r="E39" i="24" s="1"/>
  <c r="D38" i="24"/>
  <c r="D39" i="24" s="1"/>
  <c r="C38" i="24"/>
  <c r="C39" i="24" s="1"/>
  <c r="X27" i="24"/>
  <c r="W27" i="24"/>
  <c r="V27" i="24"/>
  <c r="U27" i="24"/>
  <c r="T27" i="24"/>
  <c r="S27" i="24"/>
  <c r="R27" i="24"/>
  <c r="Q27" i="24"/>
  <c r="P27" i="24"/>
  <c r="O27" i="24"/>
  <c r="N27" i="24"/>
  <c r="M27" i="24"/>
  <c r="L27" i="24"/>
  <c r="K27" i="24"/>
  <c r="J27" i="24"/>
  <c r="I27" i="24"/>
  <c r="H27" i="24"/>
  <c r="G27" i="24"/>
  <c r="F27" i="24"/>
  <c r="E27" i="24"/>
  <c r="D27" i="24"/>
  <c r="C27" i="24"/>
  <c r="X26" i="24"/>
  <c r="W26" i="24"/>
  <c r="V26" i="24"/>
  <c r="U26" i="24"/>
  <c r="T26" i="24"/>
  <c r="S26" i="24"/>
  <c r="R26" i="24"/>
  <c r="Q26" i="24"/>
  <c r="P26" i="24"/>
  <c r="O26" i="24"/>
  <c r="N26" i="24"/>
  <c r="M26" i="24"/>
  <c r="L26" i="24"/>
  <c r="K26" i="24"/>
  <c r="J26" i="24"/>
  <c r="I26" i="24"/>
  <c r="H26" i="24"/>
  <c r="G26" i="24"/>
  <c r="F26" i="24"/>
  <c r="E26" i="24"/>
  <c r="D26" i="24"/>
  <c r="C26" i="24"/>
  <c r="X25" i="24"/>
  <c r="W25" i="24"/>
  <c r="V25" i="24"/>
  <c r="U25" i="24"/>
  <c r="T25" i="24"/>
  <c r="S25" i="24"/>
  <c r="R25" i="24"/>
  <c r="Q25" i="24"/>
  <c r="P25" i="24"/>
  <c r="O25" i="24"/>
  <c r="N25" i="24"/>
  <c r="M25" i="24"/>
  <c r="L25" i="24"/>
  <c r="K25" i="24"/>
  <c r="J25" i="24"/>
  <c r="I25" i="24"/>
  <c r="H25" i="24"/>
  <c r="G25" i="24"/>
  <c r="F25" i="24"/>
  <c r="E25" i="24"/>
  <c r="D25" i="24"/>
  <c r="C25" i="24"/>
  <c r="X23" i="24"/>
  <c r="W23" i="24"/>
  <c r="V23" i="24"/>
  <c r="U23" i="24"/>
  <c r="T23" i="24"/>
  <c r="S23" i="24"/>
  <c r="R23" i="24"/>
  <c r="Q23" i="24"/>
  <c r="P23" i="24"/>
  <c r="O23" i="24"/>
  <c r="N23" i="24"/>
  <c r="M23" i="24"/>
  <c r="L23" i="24"/>
  <c r="K23" i="24"/>
  <c r="J23" i="24"/>
  <c r="I23" i="24"/>
  <c r="H23" i="24"/>
  <c r="G23" i="24"/>
  <c r="F23" i="24"/>
  <c r="E23" i="24"/>
  <c r="D23" i="24"/>
  <c r="C23" i="24"/>
  <c r="X22" i="24"/>
  <c r="W22" i="24"/>
  <c r="V22" i="24"/>
  <c r="U22" i="24"/>
  <c r="T22" i="24"/>
  <c r="S22" i="24"/>
  <c r="R22" i="24"/>
  <c r="Q22" i="24"/>
  <c r="P22" i="24"/>
  <c r="O22" i="24"/>
  <c r="N22" i="24"/>
  <c r="M22" i="24"/>
  <c r="L22" i="24"/>
  <c r="K22" i="24"/>
  <c r="J22" i="24"/>
  <c r="I22" i="24"/>
  <c r="H22" i="24"/>
  <c r="G22" i="24"/>
  <c r="F22" i="24"/>
  <c r="E22" i="24"/>
  <c r="D22" i="24"/>
  <c r="C22" i="24"/>
  <c r="X21" i="24"/>
  <c r="W21" i="24"/>
  <c r="V21" i="24"/>
  <c r="U21" i="24"/>
  <c r="T21" i="24"/>
  <c r="S21" i="24"/>
  <c r="R21" i="24"/>
  <c r="Q21" i="24"/>
  <c r="P21" i="24"/>
  <c r="O21" i="24"/>
  <c r="N21" i="24"/>
  <c r="M21" i="24"/>
  <c r="L21" i="24"/>
  <c r="K21" i="24"/>
  <c r="J21" i="24"/>
  <c r="I21" i="24"/>
  <c r="H21" i="24"/>
  <c r="G21" i="24"/>
  <c r="F21" i="24"/>
  <c r="E21" i="24"/>
  <c r="D21" i="24"/>
  <c r="C21" i="24"/>
  <c r="X19" i="24"/>
  <c r="W19" i="24"/>
  <c r="V19" i="24"/>
  <c r="U19" i="24"/>
  <c r="T19" i="24"/>
  <c r="S19" i="24"/>
  <c r="R19" i="24"/>
  <c r="Q19" i="24"/>
  <c r="P19" i="24"/>
  <c r="O19" i="24"/>
  <c r="N19" i="24"/>
  <c r="M19" i="24"/>
  <c r="L19" i="24"/>
  <c r="K19" i="24"/>
  <c r="J19" i="24"/>
  <c r="I19" i="24"/>
  <c r="H19" i="24"/>
  <c r="G19" i="24"/>
  <c r="F19" i="24"/>
  <c r="E19" i="24"/>
  <c r="D19" i="24"/>
  <c r="C19" i="24"/>
  <c r="X18" i="24"/>
  <c r="W18" i="24"/>
  <c r="V18" i="24"/>
  <c r="U18" i="24"/>
  <c r="T18" i="24"/>
  <c r="S18" i="24"/>
  <c r="R18" i="24"/>
  <c r="Q18" i="24"/>
  <c r="P18" i="24"/>
  <c r="O18" i="24"/>
  <c r="N18" i="24"/>
  <c r="M18" i="24"/>
  <c r="L18" i="24"/>
  <c r="K18" i="24"/>
  <c r="J18" i="24"/>
  <c r="I18" i="24"/>
  <c r="H18" i="24"/>
  <c r="G18" i="24"/>
  <c r="F18" i="24"/>
  <c r="E18" i="24"/>
  <c r="D18" i="24"/>
  <c r="C18" i="24"/>
  <c r="X17" i="24"/>
  <c r="W17" i="24"/>
  <c r="V17" i="24"/>
  <c r="U17" i="24"/>
  <c r="T17" i="24"/>
  <c r="S17" i="24"/>
  <c r="R17" i="24"/>
  <c r="Q17" i="24"/>
  <c r="P17" i="24"/>
  <c r="O17" i="24"/>
  <c r="N17" i="24"/>
  <c r="M17" i="24"/>
  <c r="L17" i="24"/>
  <c r="K17" i="24"/>
  <c r="J17" i="24"/>
  <c r="I17" i="24"/>
  <c r="H17" i="24"/>
  <c r="G17" i="24"/>
  <c r="F17" i="24"/>
  <c r="E17" i="24"/>
  <c r="D17" i="24"/>
  <c r="C17" i="24"/>
  <c r="X16" i="24"/>
  <c r="W16" i="24"/>
  <c r="V16" i="24"/>
  <c r="U16" i="24"/>
  <c r="T16" i="24"/>
  <c r="S16" i="24"/>
  <c r="R16" i="24"/>
  <c r="Q16" i="24"/>
  <c r="P16" i="24"/>
  <c r="O16" i="24"/>
  <c r="N16" i="24"/>
  <c r="M16" i="24"/>
  <c r="L16" i="24"/>
  <c r="K16" i="24"/>
  <c r="J16" i="24"/>
  <c r="I16" i="24"/>
  <c r="H16" i="24"/>
  <c r="G16" i="24"/>
  <c r="F16" i="24"/>
  <c r="E16" i="24"/>
  <c r="D16" i="24"/>
  <c r="C16" i="24"/>
  <c r="X15" i="24"/>
  <c r="W15" i="24"/>
  <c r="V15" i="24"/>
  <c r="U15" i="24"/>
  <c r="T15" i="24"/>
  <c r="S15" i="24"/>
  <c r="R15" i="24"/>
  <c r="Q15" i="24"/>
  <c r="P15" i="24"/>
  <c r="O15" i="24"/>
  <c r="N15" i="24"/>
  <c r="M15" i="24"/>
  <c r="L15" i="24"/>
  <c r="K15" i="24"/>
  <c r="J15" i="24"/>
  <c r="I15" i="24"/>
  <c r="H15" i="24"/>
  <c r="G15" i="24"/>
  <c r="F15" i="24"/>
  <c r="E15" i="24"/>
  <c r="D15" i="24"/>
  <c r="C15" i="24"/>
  <c r="X14" i="24"/>
  <c r="W14" i="24"/>
  <c r="V14" i="24"/>
  <c r="U14" i="24"/>
  <c r="T14" i="24"/>
  <c r="S14" i="24"/>
  <c r="R14" i="24"/>
  <c r="Q14" i="24"/>
  <c r="P14" i="24"/>
  <c r="O14" i="24"/>
  <c r="N14" i="24"/>
  <c r="M14" i="24"/>
  <c r="L14" i="24"/>
  <c r="K14" i="24"/>
  <c r="J14" i="24"/>
  <c r="I14" i="24"/>
  <c r="H14" i="24"/>
  <c r="G14" i="24"/>
  <c r="F14" i="24"/>
  <c r="E14" i="24"/>
  <c r="D14" i="24"/>
  <c r="C14" i="24"/>
  <c r="X13" i="24"/>
  <c r="W13" i="24"/>
  <c r="V13" i="24"/>
  <c r="U13" i="24"/>
  <c r="T13" i="24"/>
  <c r="S13" i="24"/>
  <c r="R13" i="24"/>
  <c r="Q13" i="24"/>
  <c r="P13" i="24"/>
  <c r="O13" i="24"/>
  <c r="N13" i="24"/>
  <c r="M13" i="24"/>
  <c r="L13" i="24"/>
  <c r="K13" i="24"/>
  <c r="J13" i="24"/>
  <c r="I13" i="24"/>
  <c r="H13" i="24"/>
  <c r="G13" i="24"/>
  <c r="F13" i="24"/>
  <c r="E13" i="24"/>
  <c r="D13" i="24"/>
  <c r="C13" i="24"/>
  <c r="X10" i="24"/>
  <c r="X40" i="24" s="1"/>
  <c r="W10" i="24"/>
  <c r="W40" i="24" s="1"/>
  <c r="V10" i="24"/>
  <c r="V40" i="24" s="1"/>
  <c r="U10" i="24"/>
  <c r="U40" i="24" s="1"/>
  <c r="T10" i="24"/>
  <c r="T40" i="24" s="1"/>
  <c r="S10" i="24"/>
  <c r="S40" i="24" s="1"/>
  <c r="R10" i="24"/>
  <c r="R40" i="24" s="1"/>
  <c r="Q10" i="24"/>
  <c r="Q40" i="24" s="1"/>
  <c r="P10" i="24"/>
  <c r="P40" i="24" s="1"/>
  <c r="O10" i="24"/>
  <c r="O40" i="24" s="1"/>
  <c r="N10" i="24"/>
  <c r="N40" i="24" s="1"/>
  <c r="M10" i="24"/>
  <c r="M40" i="24" s="1"/>
  <c r="L10" i="24"/>
  <c r="L40" i="24" s="1"/>
  <c r="K10" i="24"/>
  <c r="K40" i="24" s="1"/>
  <c r="J10" i="24"/>
  <c r="J40" i="24" s="1"/>
  <c r="I10" i="24"/>
  <c r="I40" i="24" s="1"/>
  <c r="H10" i="24"/>
  <c r="H40" i="24" s="1"/>
  <c r="G10" i="24"/>
  <c r="G40" i="24" s="1"/>
  <c r="F10" i="24"/>
  <c r="F40" i="24" s="1"/>
  <c r="E10" i="24"/>
  <c r="E40" i="24" s="1"/>
  <c r="D10" i="24"/>
  <c r="D40" i="24" s="1"/>
  <c r="C10" i="24"/>
  <c r="C40" i="24" s="1"/>
  <c r="X9" i="24"/>
  <c r="W9" i="24"/>
  <c r="V9" i="24"/>
  <c r="U9" i="24"/>
  <c r="T9" i="24"/>
  <c r="S9" i="24"/>
  <c r="R9" i="24"/>
  <c r="Q9" i="24"/>
  <c r="P9" i="24"/>
  <c r="O9" i="24"/>
  <c r="N9" i="24"/>
  <c r="M9" i="24"/>
  <c r="L9" i="24"/>
  <c r="K9" i="24"/>
  <c r="J9" i="24"/>
  <c r="I9" i="24"/>
  <c r="H9" i="24"/>
  <c r="G9" i="24"/>
  <c r="F9" i="24"/>
  <c r="E9" i="24"/>
  <c r="D9" i="24"/>
  <c r="C9" i="24"/>
  <c r="X8" i="24"/>
  <c r="W8" i="24"/>
  <c r="V8" i="24"/>
  <c r="U8" i="24"/>
  <c r="T8" i="24"/>
  <c r="S8" i="24"/>
  <c r="R8" i="24"/>
  <c r="Q8" i="24"/>
  <c r="P8" i="24"/>
  <c r="O8" i="24"/>
  <c r="N8" i="24"/>
  <c r="M8" i="24"/>
  <c r="L8" i="24"/>
  <c r="K8" i="24"/>
  <c r="J8" i="24"/>
  <c r="I8" i="24"/>
  <c r="H8" i="24"/>
  <c r="G8" i="24"/>
  <c r="F8" i="24"/>
  <c r="E8" i="24"/>
  <c r="D8" i="24"/>
  <c r="C8" i="24"/>
  <c r="X7" i="24"/>
  <c r="W7" i="24"/>
  <c r="V7" i="24"/>
  <c r="U7" i="24"/>
  <c r="T7" i="24"/>
  <c r="S7" i="24"/>
  <c r="R7" i="24"/>
  <c r="Q7" i="24"/>
  <c r="P7" i="24"/>
  <c r="O7" i="24"/>
  <c r="N7" i="24"/>
  <c r="M7" i="24"/>
  <c r="L7" i="24"/>
  <c r="K7" i="24"/>
  <c r="J7" i="24"/>
  <c r="I7" i="24"/>
  <c r="H7" i="24"/>
  <c r="G7" i="24"/>
  <c r="F7" i="24"/>
  <c r="E7" i="24"/>
  <c r="D7" i="24"/>
  <c r="C7" i="24"/>
  <c r="X6" i="24"/>
  <c r="W6" i="24"/>
  <c r="V6" i="24"/>
  <c r="U6" i="24"/>
  <c r="T6" i="24"/>
  <c r="S6" i="24"/>
  <c r="R6" i="24"/>
  <c r="Q6" i="24"/>
  <c r="P6" i="24"/>
  <c r="O6" i="24"/>
  <c r="N6" i="24"/>
  <c r="M6" i="24"/>
  <c r="L6" i="24"/>
  <c r="K6" i="24"/>
  <c r="J6" i="24"/>
  <c r="I6" i="24"/>
  <c r="H6" i="24"/>
  <c r="G6" i="24"/>
  <c r="F6" i="24"/>
  <c r="E6" i="24"/>
  <c r="D6" i="24"/>
  <c r="C6" i="24"/>
  <c r="J51" i="32" l="1"/>
  <c r="J59" i="32" s="1"/>
  <c r="J21" i="32" s="1"/>
  <c r="J5" i="32"/>
  <c r="N51" i="32"/>
  <c r="N59" i="32" s="1"/>
  <c r="N21" i="32" s="1"/>
  <c r="N5" i="32"/>
  <c r="R51" i="32"/>
  <c r="R59" i="32" s="1"/>
  <c r="R21" i="32" s="1"/>
  <c r="R5" i="32"/>
  <c r="R12" i="32" s="1"/>
  <c r="U51" i="32"/>
  <c r="U5" i="32"/>
  <c r="U12" i="32" s="1"/>
  <c r="H12" i="32"/>
  <c r="L12" i="32"/>
  <c r="H13" i="32"/>
  <c r="M10" i="33"/>
  <c r="H22" i="33"/>
  <c r="M9" i="35"/>
  <c r="M44" i="35" s="1"/>
  <c r="H94" i="38"/>
  <c r="J94" i="38"/>
  <c r="L94" i="38"/>
  <c r="N94" i="38"/>
  <c r="P94" i="38"/>
  <c r="R94" i="38"/>
  <c r="T94" i="38"/>
  <c r="V94" i="38"/>
  <c r="X94" i="38"/>
  <c r="J16" i="30"/>
  <c r="H31" i="30" s="1"/>
  <c r="T51" i="32"/>
  <c r="T59" i="32" s="1"/>
  <c r="T21" i="32" s="1"/>
  <c r="D11" i="32"/>
  <c r="J12" i="32"/>
  <c r="N12" i="32"/>
  <c r="S12" i="32"/>
  <c r="S19" i="32" s="1"/>
  <c r="S76" i="32" s="1"/>
  <c r="V12" i="32"/>
  <c r="X12" i="32"/>
  <c r="H37" i="32"/>
  <c r="H20" i="32" s="1"/>
  <c r="J37" i="32"/>
  <c r="J20" i="32" s="1"/>
  <c r="L37" i="32"/>
  <c r="L20" i="32" s="1"/>
  <c r="N37" i="32"/>
  <c r="N20" i="32" s="1"/>
  <c r="P37" i="32"/>
  <c r="P20" i="32" s="1"/>
  <c r="R37" i="32"/>
  <c r="R20" i="32" s="1"/>
  <c r="T37" i="32"/>
  <c r="T20" i="32" s="1"/>
  <c r="V37" i="32"/>
  <c r="V20" i="32" s="1"/>
  <c r="X37" i="32"/>
  <c r="X20" i="32" s="1"/>
  <c r="H59" i="32"/>
  <c r="H21" i="32" s="1"/>
  <c r="L59" i="32"/>
  <c r="L21" i="32" s="1"/>
  <c r="P59" i="32"/>
  <c r="P21" i="32" s="1"/>
  <c r="V59" i="32"/>
  <c r="V21" i="32" s="1"/>
  <c r="X59" i="32"/>
  <c r="X21" i="32" s="1"/>
  <c r="G52" i="32"/>
  <c r="I52" i="32"/>
  <c r="K52" i="32"/>
  <c r="M52" i="32"/>
  <c r="O52" i="32"/>
  <c r="Q52" i="32"/>
  <c r="U52" i="32"/>
  <c r="U59" i="32" s="1"/>
  <c r="U21" i="32" s="1"/>
  <c r="C53" i="32"/>
  <c r="J22" i="33"/>
  <c r="G13" i="32"/>
  <c r="I13" i="32"/>
  <c r="K13" i="32"/>
  <c r="M13" i="32"/>
  <c r="O13" i="32"/>
  <c r="Q13" i="32"/>
  <c r="U13" i="32"/>
  <c r="U19" i="32" s="1"/>
  <c r="U76" i="32" s="1"/>
  <c r="G37" i="32"/>
  <c r="G20" i="32" s="1"/>
  <c r="V33" i="35"/>
  <c r="V11" i="35" s="1"/>
  <c r="C6" i="35"/>
  <c r="G6" i="35"/>
  <c r="I6" i="35"/>
  <c r="I9" i="35" s="1"/>
  <c r="I44" i="35" s="1"/>
  <c r="K6" i="35"/>
  <c r="O6" i="35"/>
  <c r="Q6" i="35"/>
  <c r="Q9" i="35" s="1"/>
  <c r="Q44" i="35" s="1"/>
  <c r="S6" i="35"/>
  <c r="W6" i="35"/>
  <c r="C51" i="32"/>
  <c r="C5" i="32"/>
  <c r="C12" i="32" s="1"/>
  <c r="E51" i="32"/>
  <c r="E5" i="32"/>
  <c r="E12" i="32" s="1"/>
  <c r="G51" i="32"/>
  <c r="G5" i="32"/>
  <c r="G12" i="32" s="1"/>
  <c r="G19" i="32" s="1"/>
  <c r="G76" i="32" s="1"/>
  <c r="I51" i="32"/>
  <c r="I5" i="32"/>
  <c r="I12" i="32" s="1"/>
  <c r="K51" i="32"/>
  <c r="K5" i="32"/>
  <c r="K12" i="32" s="1"/>
  <c r="K19" i="32" s="1"/>
  <c r="K76" i="32" s="1"/>
  <c r="M51" i="32"/>
  <c r="M5" i="32"/>
  <c r="M12" i="32" s="1"/>
  <c r="O51" i="32"/>
  <c r="O5" i="32"/>
  <c r="O12" i="32" s="1"/>
  <c r="O19" i="32" s="1"/>
  <c r="O76" i="32" s="1"/>
  <c r="Q51" i="32"/>
  <c r="Q5" i="32"/>
  <c r="Q12" i="32" s="1"/>
  <c r="C15" i="25"/>
  <c r="C23" i="25" s="1"/>
  <c r="C25" i="25" s="1"/>
  <c r="C26" i="25" s="1"/>
  <c r="E23" i="25"/>
  <c r="E25" i="25" s="1"/>
  <c r="E26" i="25" s="1"/>
  <c r="G23" i="25"/>
  <c r="G25" i="25" s="1"/>
  <c r="G26" i="25" s="1"/>
  <c r="I23" i="25"/>
  <c r="I25" i="25" s="1"/>
  <c r="I26" i="25" s="1"/>
  <c r="K23" i="25"/>
  <c r="K25" i="25" s="1"/>
  <c r="K26" i="25" s="1"/>
  <c r="M23" i="25"/>
  <c r="M25" i="25" s="1"/>
  <c r="M26" i="25" s="1"/>
  <c r="O23" i="25"/>
  <c r="O25" i="25" s="1"/>
  <c r="O26" i="25" s="1"/>
  <c r="Q23" i="25"/>
  <c r="Q25" i="25" s="1"/>
  <c r="Q26" i="25" s="1"/>
  <c r="S23" i="25"/>
  <c r="S25" i="25" s="1"/>
  <c r="S26" i="25" s="1"/>
  <c r="U15" i="25"/>
  <c r="U23" i="25" s="1"/>
  <c r="U25" i="25" s="1"/>
  <c r="U26" i="25" s="1"/>
  <c r="W23" i="25"/>
  <c r="W25" i="25" s="1"/>
  <c r="W26" i="25" s="1"/>
  <c r="D5" i="32"/>
  <c r="D12" i="32" s="1"/>
  <c r="F5" i="32"/>
  <c r="F12" i="32" s="1"/>
  <c r="H19" i="32"/>
  <c r="H76" i="32" s="1"/>
  <c r="J19" i="32"/>
  <c r="J76" i="32" s="1"/>
  <c r="L19" i="32"/>
  <c r="L76" i="32" s="1"/>
  <c r="N19" i="32"/>
  <c r="N76" i="32" s="1"/>
  <c r="P5" i="32"/>
  <c r="P12" i="32" s="1"/>
  <c r="P19" i="32" s="1"/>
  <c r="P76" i="32" s="1"/>
  <c r="R19" i="32"/>
  <c r="R76" i="32" s="1"/>
  <c r="T5" i="32"/>
  <c r="T12" i="32" s="1"/>
  <c r="T19" i="32" s="1"/>
  <c r="T76" i="32" s="1"/>
  <c r="V19" i="32"/>
  <c r="V76" i="32" s="1"/>
  <c r="X19" i="32"/>
  <c r="X76" i="32" s="1"/>
  <c r="D14" i="32"/>
  <c r="D16" i="32"/>
  <c r="F16" i="32"/>
  <c r="F13" i="32" s="1"/>
  <c r="S51" i="32"/>
  <c r="S59" i="32" s="1"/>
  <c r="S21" i="32" s="1"/>
  <c r="E53" i="32"/>
  <c r="Q74" i="32"/>
  <c r="Q22" i="32" s="1"/>
  <c r="S74" i="32"/>
  <c r="S22" i="32" s="1"/>
  <c r="Q33" i="33"/>
  <c r="Q10" i="33"/>
  <c r="E9" i="35"/>
  <c r="E44" i="35" s="1"/>
  <c r="C37" i="32"/>
  <c r="C20" i="32" s="1"/>
  <c r="E37" i="32"/>
  <c r="E20" i="32" s="1"/>
  <c r="I37" i="32"/>
  <c r="I20" i="32" s="1"/>
  <c r="K37" i="32"/>
  <c r="K20" i="32" s="1"/>
  <c r="M37" i="32"/>
  <c r="M20" i="32" s="1"/>
  <c r="O37" i="32"/>
  <c r="O20" i="32" s="1"/>
  <c r="Q37" i="32"/>
  <c r="Q20" i="32" s="1"/>
  <c r="S37" i="32"/>
  <c r="S20" i="32" s="1"/>
  <c r="U37" i="32"/>
  <c r="U20" i="32" s="1"/>
  <c r="W37" i="32"/>
  <c r="W20" i="32" s="1"/>
  <c r="D51" i="32"/>
  <c r="D59" i="32" s="1"/>
  <c r="D21" i="32" s="1"/>
  <c r="F51" i="32"/>
  <c r="F59" i="32" s="1"/>
  <c r="F21" i="32" s="1"/>
  <c r="E33" i="35"/>
  <c r="E11" i="35" s="1"/>
  <c r="I33" i="35"/>
  <c r="I11" i="35" s="1"/>
  <c r="M33" i="35"/>
  <c r="M11" i="35" s="1"/>
  <c r="Q33" i="35"/>
  <c r="Q11" i="35" s="1"/>
  <c r="U33" i="35"/>
  <c r="U11" i="35" s="1"/>
  <c r="D15" i="25"/>
  <c r="D23" i="25" s="1"/>
  <c r="D25" i="25" s="1"/>
  <c r="D26" i="25" s="1"/>
  <c r="F23" i="25"/>
  <c r="F25" i="25" s="1"/>
  <c r="F26" i="25" s="1"/>
  <c r="H23" i="25"/>
  <c r="H25" i="25" s="1"/>
  <c r="H26" i="25" s="1"/>
  <c r="J23" i="25"/>
  <c r="J25" i="25" s="1"/>
  <c r="J26" i="25" s="1"/>
  <c r="L23" i="25"/>
  <c r="L25" i="25" s="1"/>
  <c r="L26" i="25" s="1"/>
  <c r="N23" i="25"/>
  <c r="N25" i="25" s="1"/>
  <c r="N26" i="25" s="1"/>
  <c r="P23" i="25"/>
  <c r="P25" i="25" s="1"/>
  <c r="P26" i="25" s="1"/>
  <c r="R23" i="25"/>
  <c r="R25" i="25" s="1"/>
  <c r="R26" i="25" s="1"/>
  <c r="T15" i="25"/>
  <c r="T23" i="25" s="1"/>
  <c r="T25" i="25" s="1"/>
  <c r="T26" i="25" s="1"/>
  <c r="V15" i="25"/>
  <c r="V23" i="25" s="1"/>
  <c r="V25" i="25" s="1"/>
  <c r="V26" i="25" s="1"/>
  <c r="X23" i="25"/>
  <c r="X25" i="25" s="1"/>
  <c r="X26" i="25" s="1"/>
  <c r="F52" i="31"/>
  <c r="H52" i="31"/>
  <c r="J52" i="31"/>
  <c r="L52" i="31"/>
  <c r="N52" i="31"/>
  <c r="P52" i="31"/>
  <c r="R52" i="31"/>
  <c r="T52" i="31"/>
  <c r="V52" i="31"/>
  <c r="X52" i="31"/>
  <c r="D46" i="31"/>
  <c r="D50" i="31" s="1"/>
  <c r="D52" i="31" s="1"/>
  <c r="D54" i="31" s="1"/>
  <c r="O10" i="33"/>
  <c r="S10" i="33"/>
  <c r="C9" i="35"/>
  <c r="C44" i="35" s="1"/>
  <c r="G9" i="35"/>
  <c r="G44" i="35" s="1"/>
  <c r="K9" i="35"/>
  <c r="K44" i="35" s="1"/>
  <c r="O9" i="35"/>
  <c r="O44" i="35" s="1"/>
  <c r="S9" i="35"/>
  <c r="S44" i="35" s="1"/>
  <c r="W9" i="35"/>
  <c r="W44" i="35" s="1"/>
  <c r="X33" i="35"/>
  <c r="X11" i="35" s="1"/>
  <c r="X77" i="38"/>
  <c r="F79" i="38"/>
  <c r="F98" i="38" s="1"/>
  <c r="F96" i="38" s="1"/>
  <c r="J79" i="38"/>
  <c r="J98" i="38" s="1"/>
  <c r="J96" i="38" s="1"/>
  <c r="N79" i="38"/>
  <c r="N98" i="38" s="1"/>
  <c r="N96" i="38" s="1"/>
  <c r="W92" i="38"/>
  <c r="V77" i="38"/>
  <c r="D79" i="38"/>
  <c r="D98" i="38" s="1"/>
  <c r="D96" i="38" s="1"/>
  <c r="H79" i="38"/>
  <c r="H98" i="38" s="1"/>
  <c r="H96" i="38" s="1"/>
  <c r="L79" i="38"/>
  <c r="L98" i="38" s="1"/>
  <c r="L96" i="38" s="1"/>
  <c r="V92" i="38"/>
  <c r="X92" i="38"/>
  <c r="C100" i="37"/>
  <c r="C98" i="37" s="1"/>
  <c r="E104" i="37"/>
  <c r="E102" i="37" s="1"/>
  <c r="G96" i="37"/>
  <c r="I96" i="37"/>
  <c r="I104" i="37" s="1"/>
  <c r="I102" i="37" s="1"/>
  <c r="K96" i="37"/>
  <c r="K100" i="37" s="1"/>
  <c r="K98" i="37" s="1"/>
  <c r="M96" i="37"/>
  <c r="M104" i="37" s="1"/>
  <c r="M102" i="37" s="1"/>
  <c r="O96" i="37"/>
  <c r="Q96" i="37"/>
  <c r="Q104" i="37" s="1"/>
  <c r="Q102" i="37" s="1"/>
  <c r="S96" i="37"/>
  <c r="S100" i="37" s="1"/>
  <c r="S98" i="37" s="1"/>
  <c r="U96" i="37"/>
  <c r="U104" i="37" s="1"/>
  <c r="U102" i="37" s="1"/>
  <c r="W96" i="37"/>
  <c r="W102" i="37" s="1"/>
  <c r="V94" i="37"/>
  <c r="X94" i="37"/>
  <c r="X103" i="37" s="1"/>
  <c r="W77" i="37"/>
  <c r="W79" i="37"/>
  <c r="E81" i="37"/>
  <c r="E100" i="37" s="1"/>
  <c r="E98" i="37" s="1"/>
  <c r="I81" i="37"/>
  <c r="M81" i="37"/>
  <c r="Q81" i="37"/>
  <c r="U81" i="37"/>
  <c r="U100" i="37" s="1"/>
  <c r="U98" i="37" s="1"/>
  <c r="C82" i="37"/>
  <c r="C104" i="37" s="1"/>
  <c r="C102" i="37" s="1"/>
  <c r="G82" i="37"/>
  <c r="K82" i="37"/>
  <c r="O82" i="37"/>
  <c r="S82" i="37"/>
  <c r="S104" i="37" s="1"/>
  <c r="S102" i="37" s="1"/>
  <c r="W82" i="37"/>
  <c r="W81" i="37"/>
  <c r="H96" i="37"/>
  <c r="J96" i="37"/>
  <c r="L96" i="37"/>
  <c r="N96" i="37"/>
  <c r="P96" i="37"/>
  <c r="R96" i="37"/>
  <c r="T96" i="37"/>
  <c r="V96" i="37"/>
  <c r="X96" i="37"/>
  <c r="X102" i="37" s="1"/>
  <c r="W94" i="37"/>
  <c r="W103" i="37" s="1"/>
  <c r="G100" i="37"/>
  <c r="G98" i="37" s="1"/>
  <c r="O100" i="37"/>
  <c r="O98" i="37" s="1"/>
  <c r="W100" i="37"/>
  <c r="D82" i="37"/>
  <c r="D104" i="37" s="1"/>
  <c r="D102" i="37" s="1"/>
  <c r="D81" i="37"/>
  <c r="D100" i="37" s="1"/>
  <c r="D98" i="37" s="1"/>
  <c r="F82" i="37"/>
  <c r="F104" i="37" s="1"/>
  <c r="F102" i="37" s="1"/>
  <c r="F81" i="37"/>
  <c r="F100" i="37" s="1"/>
  <c r="F98" i="37" s="1"/>
  <c r="H82" i="37"/>
  <c r="H81" i="37"/>
  <c r="J82" i="37"/>
  <c r="J81" i="37"/>
  <c r="J100" i="37" s="1"/>
  <c r="J98" i="37" s="1"/>
  <c r="L82" i="37"/>
  <c r="L81" i="37"/>
  <c r="N82" i="37"/>
  <c r="N81" i="37"/>
  <c r="N100" i="37" s="1"/>
  <c r="N98" i="37" s="1"/>
  <c r="P82" i="37"/>
  <c r="P81" i="37"/>
  <c r="R82" i="37"/>
  <c r="R81" i="37"/>
  <c r="R100" i="37" s="1"/>
  <c r="R98" i="37" s="1"/>
  <c r="T82" i="37"/>
  <c r="T81" i="37"/>
  <c r="V82" i="37"/>
  <c r="V81" i="37"/>
  <c r="V100" i="37" s="1"/>
  <c r="V77" i="37"/>
  <c r="X82" i="37"/>
  <c r="X81" i="37"/>
  <c r="X77" i="37"/>
  <c r="V83" i="37"/>
  <c r="V79" i="37"/>
  <c r="X83" i="37"/>
  <c r="X79" i="37"/>
  <c r="V78" i="37"/>
  <c r="M100" i="37"/>
  <c r="M98" i="37" s="1"/>
  <c r="K104" i="37"/>
  <c r="K102" i="37" s="1"/>
  <c r="O80" i="38"/>
  <c r="O102" i="38" s="1"/>
  <c r="O100" i="38" s="1"/>
  <c r="O79" i="38"/>
  <c r="O98" i="38" s="1"/>
  <c r="O96" i="38" s="1"/>
  <c r="Q80" i="38"/>
  <c r="Q102" i="38" s="1"/>
  <c r="Q100" i="38" s="1"/>
  <c r="Q79" i="38"/>
  <c r="Q98" i="38" s="1"/>
  <c r="Q96" i="38" s="1"/>
  <c r="S80" i="38"/>
  <c r="S102" i="38" s="1"/>
  <c r="S100" i="38" s="1"/>
  <c r="S79" i="38"/>
  <c r="S98" i="38" s="1"/>
  <c r="S96" i="38" s="1"/>
  <c r="U80" i="38"/>
  <c r="U102" i="38" s="1"/>
  <c r="U100" i="38" s="1"/>
  <c r="U79" i="38"/>
  <c r="U98" i="38" s="1"/>
  <c r="U96" i="38" s="1"/>
  <c r="W80" i="38"/>
  <c r="W102" i="38" s="1"/>
  <c r="W79" i="38"/>
  <c r="W98" i="38" s="1"/>
  <c r="V96" i="38"/>
  <c r="V97" i="38"/>
  <c r="X96" i="38"/>
  <c r="X97" i="38"/>
  <c r="W76" i="38"/>
  <c r="H102" i="38"/>
  <c r="H100" i="38" s="1"/>
  <c r="J102" i="38"/>
  <c r="J100" i="38" s="1"/>
  <c r="L102" i="38"/>
  <c r="L100" i="38" s="1"/>
  <c r="N102" i="38"/>
  <c r="N100" i="38" s="1"/>
  <c r="P80" i="38"/>
  <c r="P102" i="38" s="1"/>
  <c r="P100" i="38" s="1"/>
  <c r="P79" i="38"/>
  <c r="P98" i="38" s="1"/>
  <c r="P96" i="38" s="1"/>
  <c r="R80" i="38"/>
  <c r="R102" i="38" s="1"/>
  <c r="R100" i="38" s="1"/>
  <c r="R79" i="38"/>
  <c r="R98" i="38" s="1"/>
  <c r="R96" i="38" s="1"/>
  <c r="T80" i="38"/>
  <c r="T102" i="38" s="1"/>
  <c r="T100" i="38" s="1"/>
  <c r="T79" i="38"/>
  <c r="T98" i="38" s="1"/>
  <c r="T96" i="38" s="1"/>
  <c r="V80" i="38"/>
  <c r="V102" i="38" s="1"/>
  <c r="V79" i="38"/>
  <c r="V98" i="38" s="1"/>
  <c r="X80" i="38"/>
  <c r="X102" i="38" s="1"/>
  <c r="X79" i="38"/>
  <c r="X98" i="38" s="1"/>
  <c r="W75" i="38"/>
  <c r="V76" i="38"/>
  <c r="X76" i="38"/>
  <c r="W77" i="38"/>
  <c r="C79" i="38"/>
  <c r="C98" i="38" s="1"/>
  <c r="C96" i="38" s="1"/>
  <c r="E79" i="38"/>
  <c r="E98" i="38" s="1"/>
  <c r="E96" i="38" s="1"/>
  <c r="G79" i="38"/>
  <c r="G98" i="38" s="1"/>
  <c r="G96" i="38" s="1"/>
  <c r="I79" i="38"/>
  <c r="I98" i="38" s="1"/>
  <c r="I96" i="38" s="1"/>
  <c r="K79" i="38"/>
  <c r="K98" i="38" s="1"/>
  <c r="K96" i="38" s="1"/>
  <c r="M79" i="38"/>
  <c r="M98" i="38" s="1"/>
  <c r="M96" i="38" s="1"/>
  <c r="F9" i="35"/>
  <c r="F44" i="35" s="1"/>
  <c r="J9" i="35"/>
  <c r="J44" i="35" s="1"/>
  <c r="N9" i="35"/>
  <c r="N44" i="35" s="1"/>
  <c r="R9" i="35"/>
  <c r="R44" i="35" s="1"/>
  <c r="V9" i="35"/>
  <c r="V44" i="35" s="1"/>
  <c r="C33" i="35"/>
  <c r="C11" i="35" s="1"/>
  <c r="G33" i="35"/>
  <c r="G11" i="35" s="1"/>
  <c r="K33" i="35"/>
  <c r="K11" i="35" s="1"/>
  <c r="O33" i="35"/>
  <c r="O11" i="35" s="1"/>
  <c r="S33" i="35"/>
  <c r="S11" i="35" s="1"/>
  <c r="W33" i="35"/>
  <c r="W11" i="35" s="1"/>
  <c r="F21" i="35"/>
  <c r="F10" i="35" s="1"/>
  <c r="J21" i="35"/>
  <c r="J10" i="35" s="1"/>
  <c r="N21" i="35"/>
  <c r="N10" i="35" s="1"/>
  <c r="R21" i="35"/>
  <c r="R10" i="35" s="1"/>
  <c r="V21" i="35"/>
  <c r="V10" i="35" s="1"/>
  <c r="D6" i="35"/>
  <c r="D9" i="35" s="1"/>
  <c r="D44" i="35" s="1"/>
  <c r="H6" i="35"/>
  <c r="H9" i="35" s="1"/>
  <c r="H44" i="35" s="1"/>
  <c r="L6" i="35"/>
  <c r="L9" i="35" s="1"/>
  <c r="L44" i="35" s="1"/>
  <c r="P6" i="35"/>
  <c r="P9" i="35" s="1"/>
  <c r="P44" i="35" s="1"/>
  <c r="T6" i="35"/>
  <c r="T9" i="35" s="1"/>
  <c r="T44" i="35" s="1"/>
  <c r="X6" i="35"/>
  <c r="X9" i="35" s="1"/>
  <c r="X44" i="35" s="1"/>
  <c r="E21" i="35"/>
  <c r="E10" i="35" s="1"/>
  <c r="C20" i="34"/>
  <c r="E20" i="34"/>
  <c r="G20" i="34"/>
  <c r="I20" i="34"/>
  <c r="K20" i="34"/>
  <c r="M20" i="34"/>
  <c r="O20" i="34"/>
  <c r="Q20" i="34"/>
  <c r="S20" i="34"/>
  <c r="U20" i="34"/>
  <c r="W20" i="34"/>
  <c r="D20" i="34"/>
  <c r="F20" i="34"/>
  <c r="H20" i="34"/>
  <c r="J20" i="34"/>
  <c r="L20" i="34"/>
  <c r="N20" i="34"/>
  <c r="P20" i="34"/>
  <c r="R20" i="34"/>
  <c r="T20" i="34"/>
  <c r="V20" i="34"/>
  <c r="X20" i="34"/>
  <c r="K32" i="33"/>
  <c r="H37" i="33"/>
  <c r="L10" i="33"/>
  <c r="N10" i="33"/>
  <c r="P10" i="33"/>
  <c r="R10" i="33"/>
  <c r="T10" i="33"/>
  <c r="V10" i="33"/>
  <c r="I22" i="33"/>
  <c r="I15" i="33"/>
  <c r="I30" i="33"/>
  <c r="K15" i="33"/>
  <c r="K30" i="33"/>
  <c r="M15" i="33"/>
  <c r="M30" i="33"/>
  <c r="O15" i="33"/>
  <c r="O30" i="33"/>
  <c r="Q15" i="33"/>
  <c r="Q30" i="33"/>
  <c r="S15" i="33"/>
  <c r="S30" i="33"/>
  <c r="U15" i="33"/>
  <c r="U30" i="33"/>
  <c r="W15" i="33"/>
  <c r="W30" i="33"/>
  <c r="L41" i="33"/>
  <c r="L32" i="33"/>
  <c r="N41" i="33"/>
  <c r="N32" i="33"/>
  <c r="P41" i="33"/>
  <c r="P32" i="33"/>
  <c r="R41" i="33"/>
  <c r="R32" i="33"/>
  <c r="T41" i="33"/>
  <c r="T32" i="33"/>
  <c r="V41" i="33"/>
  <c r="V32" i="33"/>
  <c r="H15" i="33"/>
  <c r="I41" i="33"/>
  <c r="I32" i="33"/>
  <c r="I36" i="33" s="1"/>
  <c r="W36" i="33"/>
  <c r="H40" i="33"/>
  <c r="J30" i="33"/>
  <c r="J15" i="33"/>
  <c r="L30" i="33"/>
  <c r="L15" i="33"/>
  <c r="N30" i="33"/>
  <c r="N15" i="33"/>
  <c r="P30" i="33"/>
  <c r="P15" i="33"/>
  <c r="R30" i="33"/>
  <c r="R15" i="33"/>
  <c r="T30" i="33"/>
  <c r="T15" i="33"/>
  <c r="V30" i="33"/>
  <c r="V15" i="33"/>
  <c r="X30" i="33"/>
  <c r="X15" i="33"/>
  <c r="M41" i="33"/>
  <c r="M32" i="33"/>
  <c r="M36" i="33" s="1"/>
  <c r="O41" i="33"/>
  <c r="O32" i="33"/>
  <c r="O36" i="33" s="1"/>
  <c r="Q41" i="33"/>
  <c r="Q32" i="33"/>
  <c r="Q36" i="33" s="1"/>
  <c r="S41" i="33"/>
  <c r="S32" i="33"/>
  <c r="S36" i="33" s="1"/>
  <c r="U41" i="33"/>
  <c r="U32" i="33"/>
  <c r="U36" i="33" s="1"/>
  <c r="H41" i="33"/>
  <c r="H32" i="33"/>
  <c r="J41" i="33"/>
  <c r="J32" i="33"/>
  <c r="J36" i="33" s="1"/>
  <c r="K36" i="33"/>
  <c r="X36" i="33"/>
  <c r="G52" i="31"/>
  <c r="I52" i="31"/>
  <c r="I54" i="31" s="1"/>
  <c r="K52" i="31"/>
  <c r="M52" i="31"/>
  <c r="M54" i="31" s="1"/>
  <c r="O52" i="31"/>
  <c r="Q52" i="31"/>
  <c r="Q54" i="31" s="1"/>
  <c r="S52" i="31"/>
  <c r="U52" i="31"/>
  <c r="U54" i="31" s="1"/>
  <c r="W52" i="31"/>
  <c r="C46" i="31"/>
  <c r="C50" i="31" s="1"/>
  <c r="C52" i="31" s="1"/>
  <c r="C54" i="31" s="1"/>
  <c r="E46" i="31"/>
  <c r="E50" i="31" s="1"/>
  <c r="E52" i="31" s="1"/>
  <c r="E54" i="31" s="1"/>
  <c r="F54" i="31"/>
  <c r="H54" i="31"/>
  <c r="J54" i="31"/>
  <c r="L54" i="31"/>
  <c r="N54" i="31"/>
  <c r="P54" i="31"/>
  <c r="R54" i="31"/>
  <c r="T54" i="31"/>
  <c r="V54" i="31"/>
  <c r="X54" i="31"/>
  <c r="G54" i="31"/>
  <c r="K54" i="31"/>
  <c r="O54" i="31"/>
  <c r="S54" i="31"/>
  <c r="W54" i="31"/>
  <c r="E27" i="29"/>
  <c r="E25" i="29"/>
  <c r="E29" i="29" s="1"/>
  <c r="X27" i="29"/>
  <c r="X25" i="29"/>
  <c r="X29" i="29" s="1"/>
  <c r="D25" i="29"/>
  <c r="D29" i="29" s="1"/>
  <c r="F25" i="29"/>
  <c r="F29" i="29" s="1"/>
  <c r="H25" i="29"/>
  <c r="H29" i="29" s="1"/>
  <c r="J25" i="29"/>
  <c r="J29" i="29" s="1"/>
  <c r="L25" i="29"/>
  <c r="L29" i="29" s="1"/>
  <c r="N25" i="29"/>
  <c r="N29" i="29" s="1"/>
  <c r="P25" i="29"/>
  <c r="P29" i="29" s="1"/>
  <c r="R25" i="29"/>
  <c r="R29" i="29" s="1"/>
  <c r="T25" i="29"/>
  <c r="T29" i="29" s="1"/>
  <c r="V25" i="29"/>
  <c r="V29" i="29" s="1"/>
  <c r="C25" i="29"/>
  <c r="C29" i="29" s="1"/>
  <c r="G25" i="29"/>
  <c r="G29" i="29" s="1"/>
  <c r="I25" i="29"/>
  <c r="I29" i="29" s="1"/>
  <c r="K25" i="29"/>
  <c r="K29" i="29" s="1"/>
  <c r="M25" i="29"/>
  <c r="M29" i="29" s="1"/>
  <c r="O25" i="29"/>
  <c r="O29" i="29" s="1"/>
  <c r="Q25" i="29"/>
  <c r="Q29" i="29" s="1"/>
  <c r="S25" i="29"/>
  <c r="S29" i="29" s="1"/>
  <c r="U25" i="29"/>
  <c r="U29" i="29" s="1"/>
  <c r="W25" i="29"/>
  <c r="W29" i="29" s="1"/>
  <c r="C20" i="28"/>
  <c r="C24" i="28" s="1"/>
  <c r="E20" i="28"/>
  <c r="E24" i="28" s="1"/>
  <c r="G20" i="28"/>
  <c r="G24" i="28" s="1"/>
  <c r="I20" i="28"/>
  <c r="I24" i="28" s="1"/>
  <c r="K20" i="28"/>
  <c r="K24" i="28" s="1"/>
  <c r="M20" i="28"/>
  <c r="M24" i="28" s="1"/>
  <c r="O20" i="28"/>
  <c r="O24" i="28" s="1"/>
  <c r="Q20" i="28"/>
  <c r="Q24" i="28" s="1"/>
  <c r="S20" i="28"/>
  <c r="S24" i="28" s="1"/>
  <c r="U20" i="28"/>
  <c r="U24" i="28" s="1"/>
  <c r="W20" i="28"/>
  <c r="W24" i="28" s="1"/>
  <c r="D20" i="28"/>
  <c r="D24" i="28" s="1"/>
  <c r="F20" i="28"/>
  <c r="F24" i="28" s="1"/>
  <c r="H20" i="28"/>
  <c r="H24" i="28" s="1"/>
  <c r="J20" i="28"/>
  <c r="J24" i="28" s="1"/>
  <c r="L20" i="28"/>
  <c r="L24" i="28" s="1"/>
  <c r="N20" i="28"/>
  <c r="N24" i="28" s="1"/>
  <c r="P20" i="28"/>
  <c r="P24" i="28" s="1"/>
  <c r="R20" i="28"/>
  <c r="R24" i="28" s="1"/>
  <c r="T20" i="28"/>
  <c r="T24" i="28" s="1"/>
  <c r="V20" i="28"/>
  <c r="V24" i="28" s="1"/>
  <c r="X20" i="28"/>
  <c r="X24" i="28" s="1"/>
  <c r="C61" i="27"/>
  <c r="C60" i="27" s="1"/>
  <c r="C47" i="27"/>
  <c r="E61" i="27"/>
  <c r="E60" i="27" s="1"/>
  <c r="E47" i="27"/>
  <c r="G61" i="27"/>
  <c r="G60" i="27" s="1"/>
  <c r="G47" i="27"/>
  <c r="I61" i="27"/>
  <c r="I60" i="27" s="1"/>
  <c r="I47" i="27"/>
  <c r="K61" i="27"/>
  <c r="K60" i="27" s="1"/>
  <c r="K47" i="27"/>
  <c r="M61" i="27"/>
  <c r="M60" i="27" s="1"/>
  <c r="M47" i="27"/>
  <c r="O61" i="27"/>
  <c r="O60" i="27" s="1"/>
  <c r="O47" i="27"/>
  <c r="Q61" i="27"/>
  <c r="Q60" i="27" s="1"/>
  <c r="Q47" i="27"/>
  <c r="S61" i="27"/>
  <c r="S60" i="27" s="1"/>
  <c r="S47" i="27"/>
  <c r="U61" i="27"/>
  <c r="U60" i="27" s="1"/>
  <c r="U47" i="27"/>
  <c r="W61" i="27"/>
  <c r="W60" i="27" s="1"/>
  <c r="W47" i="27"/>
  <c r="C66" i="27"/>
  <c r="C65" i="27" s="1"/>
  <c r="C52" i="27"/>
  <c r="E66" i="27"/>
  <c r="E65" i="27" s="1"/>
  <c r="E52" i="27"/>
  <c r="G66" i="27"/>
  <c r="G65" i="27" s="1"/>
  <c r="G52" i="27"/>
  <c r="I66" i="27"/>
  <c r="I65" i="27" s="1"/>
  <c r="I52" i="27"/>
  <c r="K66" i="27"/>
  <c r="K65" i="27" s="1"/>
  <c r="K52" i="27"/>
  <c r="M66" i="27"/>
  <c r="M65" i="27" s="1"/>
  <c r="M52" i="27"/>
  <c r="O66" i="27"/>
  <c r="O65" i="27" s="1"/>
  <c r="O52" i="27"/>
  <c r="Q66" i="27"/>
  <c r="Q65" i="27" s="1"/>
  <c r="Q52" i="27"/>
  <c r="S66" i="27"/>
  <c r="S65" i="27" s="1"/>
  <c r="S52" i="27"/>
  <c r="U66" i="27"/>
  <c r="U65" i="27" s="1"/>
  <c r="U52" i="27"/>
  <c r="W66" i="27"/>
  <c r="W65" i="27" s="1"/>
  <c r="W52" i="27"/>
  <c r="D61" i="27"/>
  <c r="D60" i="27" s="1"/>
  <c r="D47" i="27"/>
  <c r="F61" i="27"/>
  <c r="F60" i="27" s="1"/>
  <c r="F47" i="27"/>
  <c r="H61" i="27"/>
  <c r="H60" i="27" s="1"/>
  <c r="H47" i="27"/>
  <c r="J61" i="27"/>
  <c r="J60" i="27" s="1"/>
  <c r="J47" i="27"/>
  <c r="L61" i="27"/>
  <c r="L60" i="27" s="1"/>
  <c r="L47" i="27"/>
  <c r="N61" i="27"/>
  <c r="N60" i="27" s="1"/>
  <c r="N47" i="27"/>
  <c r="P61" i="27"/>
  <c r="P60" i="27" s="1"/>
  <c r="P47" i="27"/>
  <c r="R61" i="27"/>
  <c r="R60" i="27" s="1"/>
  <c r="R47" i="27"/>
  <c r="T61" i="27"/>
  <c r="T60" i="27" s="1"/>
  <c r="T47" i="27"/>
  <c r="V61" i="27"/>
  <c r="V60" i="27" s="1"/>
  <c r="V47" i="27"/>
  <c r="X61" i="27"/>
  <c r="X60" i="27" s="1"/>
  <c r="X47" i="27"/>
  <c r="D66" i="27"/>
  <c r="D65" i="27" s="1"/>
  <c r="D52" i="27"/>
  <c r="F66" i="27"/>
  <c r="F65" i="27" s="1"/>
  <c r="F52" i="27"/>
  <c r="H66" i="27"/>
  <c r="H65" i="27" s="1"/>
  <c r="H52" i="27"/>
  <c r="J66" i="27"/>
  <c r="J65" i="27" s="1"/>
  <c r="J52" i="27"/>
  <c r="L66" i="27"/>
  <c r="L65" i="27" s="1"/>
  <c r="L52" i="27"/>
  <c r="N66" i="27"/>
  <c r="N65" i="27" s="1"/>
  <c r="N52" i="27"/>
  <c r="P66" i="27"/>
  <c r="P65" i="27" s="1"/>
  <c r="P52" i="27"/>
  <c r="R66" i="27"/>
  <c r="R65" i="27" s="1"/>
  <c r="R52" i="27"/>
  <c r="T66" i="27"/>
  <c r="T65" i="27" s="1"/>
  <c r="T52" i="27"/>
  <c r="V66" i="27"/>
  <c r="V65" i="27" s="1"/>
  <c r="V52" i="27"/>
  <c r="X66" i="27"/>
  <c r="X65" i="27" s="1"/>
  <c r="X52" i="27"/>
  <c r="F33" i="24"/>
  <c r="E32" i="24"/>
  <c r="J33" i="24"/>
  <c r="I32" i="24"/>
  <c r="N33" i="24"/>
  <c r="M32" i="24"/>
  <c r="R33" i="24"/>
  <c r="Q32" i="24"/>
  <c r="V33" i="24"/>
  <c r="U32" i="24"/>
  <c r="X33" i="24"/>
  <c r="D32" i="24"/>
  <c r="F32" i="24"/>
  <c r="H32" i="24"/>
  <c r="J32" i="24"/>
  <c r="L32" i="24"/>
  <c r="N32" i="24"/>
  <c r="P32" i="24"/>
  <c r="R32" i="24"/>
  <c r="T32" i="24"/>
  <c r="V32" i="24"/>
  <c r="X32" i="24"/>
  <c r="C32" i="24"/>
  <c r="G32" i="24"/>
  <c r="K32" i="24"/>
  <c r="O32" i="24"/>
  <c r="S32" i="24"/>
  <c r="W32" i="24"/>
  <c r="C33" i="24"/>
  <c r="E33" i="24"/>
  <c r="G33" i="24"/>
  <c r="I33" i="24"/>
  <c r="K33" i="24"/>
  <c r="M33" i="24"/>
  <c r="O33" i="24"/>
  <c r="Q33" i="24"/>
  <c r="S33" i="24"/>
  <c r="U33" i="24"/>
  <c r="W33" i="24"/>
  <c r="D33" i="24"/>
  <c r="H33" i="24"/>
  <c r="L33" i="24"/>
  <c r="P33" i="24"/>
  <c r="T33" i="24"/>
  <c r="X100" i="37" l="1"/>
  <c r="T104" i="37"/>
  <c r="T102" i="37" s="1"/>
  <c r="P104" i="37"/>
  <c r="P102" i="37" s="1"/>
  <c r="L104" i="37"/>
  <c r="L102" i="37" s="1"/>
  <c r="H104" i="37"/>
  <c r="H102" i="37" s="1"/>
  <c r="Q59" i="32"/>
  <c r="Q21" i="32" s="1"/>
  <c r="M59" i="32"/>
  <c r="M21" i="32" s="1"/>
  <c r="I59" i="32"/>
  <c r="I21" i="32" s="1"/>
  <c r="O59" i="32"/>
  <c r="O21" i="32" s="1"/>
  <c r="K59" i="32"/>
  <c r="K21" i="32" s="1"/>
  <c r="G59" i="32"/>
  <c r="G21" i="32" s="1"/>
  <c r="Q19" i="32"/>
  <c r="Q76" i="32" s="1"/>
  <c r="M19" i="32"/>
  <c r="M76" i="32" s="1"/>
  <c r="I19" i="32"/>
  <c r="I76" i="32" s="1"/>
  <c r="C14" i="32"/>
  <c r="C13" i="32" s="1"/>
  <c r="C19" i="32" s="1"/>
  <c r="C76" i="32" s="1"/>
  <c r="C52" i="32"/>
  <c r="C59" i="32" s="1"/>
  <c r="C21" i="32" s="1"/>
  <c r="E14" i="32"/>
  <c r="E13" i="32" s="1"/>
  <c r="E52" i="32"/>
  <c r="E59" i="32" s="1"/>
  <c r="E21" i="32" s="1"/>
  <c r="D13" i="32"/>
  <c r="D19" i="32" s="1"/>
  <c r="D76" i="32" s="1"/>
  <c r="F19" i="32"/>
  <c r="F76" i="32" s="1"/>
  <c r="E19" i="32"/>
  <c r="E76" i="32" s="1"/>
  <c r="Q100" i="37"/>
  <c r="Q98" i="37" s="1"/>
  <c r="I100" i="37"/>
  <c r="I98" i="37" s="1"/>
  <c r="V104" i="37"/>
  <c r="R104" i="37"/>
  <c r="R102" i="37" s="1"/>
  <c r="N104" i="37"/>
  <c r="N102" i="37" s="1"/>
  <c r="J104" i="37"/>
  <c r="J102" i="37" s="1"/>
  <c r="W104" i="37"/>
  <c r="O104" i="37"/>
  <c r="O102" i="37" s="1"/>
  <c r="G104" i="37"/>
  <c r="G102" i="37" s="1"/>
  <c r="W99" i="37"/>
  <c r="X104" i="37"/>
  <c r="T100" i="37"/>
  <c r="T98" i="37" s="1"/>
  <c r="P100" i="37"/>
  <c r="P98" i="37" s="1"/>
  <c r="L100" i="37"/>
  <c r="L98" i="37" s="1"/>
  <c r="H100" i="37"/>
  <c r="H98" i="37" s="1"/>
  <c r="W98" i="37"/>
  <c r="X101" i="38"/>
  <c r="X100" i="38"/>
  <c r="W97" i="38"/>
  <c r="W96" i="38"/>
  <c r="X98" i="37"/>
  <c r="X99" i="37"/>
  <c r="V101" i="38"/>
  <c r="V100" i="38"/>
  <c r="W100" i="38"/>
  <c r="W101" i="38"/>
  <c r="V103" i="37"/>
  <c r="V102" i="37"/>
  <c r="V98" i="37"/>
  <c r="V99" i="37"/>
  <c r="H36" i="33"/>
  <c r="X37" i="33"/>
  <c r="X40" i="33"/>
  <c r="V37" i="33"/>
  <c r="V40" i="33"/>
  <c r="T37" i="33"/>
  <c r="T40" i="33"/>
  <c r="R37" i="33"/>
  <c r="R40" i="33"/>
  <c r="P37" i="33"/>
  <c r="P40" i="33"/>
  <c r="N37" i="33"/>
  <c r="N40" i="33"/>
  <c r="L37" i="33"/>
  <c r="L40" i="33"/>
  <c r="J37" i="33"/>
  <c r="J40" i="33"/>
  <c r="V36" i="33"/>
  <c r="T36" i="33"/>
  <c r="R36" i="33"/>
  <c r="P36" i="33"/>
  <c r="N36" i="33"/>
  <c r="L36" i="33"/>
  <c r="W40" i="33"/>
  <c r="W37" i="33"/>
  <c r="U40" i="33"/>
  <c r="U37" i="33"/>
  <c r="S40" i="33"/>
  <c r="S37" i="33"/>
  <c r="Q40" i="33"/>
  <c r="Q37" i="33"/>
  <c r="O40" i="33"/>
  <c r="O37" i="33"/>
  <c r="M40" i="33"/>
  <c r="M37" i="33"/>
  <c r="K40" i="33"/>
  <c r="K37" i="33"/>
  <c r="I40" i="33"/>
  <c r="I37" i="33"/>
  <c r="X56" i="27"/>
  <c r="X58" i="27" s="1"/>
  <c r="V56" i="27"/>
  <c r="V58" i="27" s="1"/>
  <c r="T56" i="27"/>
  <c r="T58" i="27" s="1"/>
  <c r="R56" i="27"/>
  <c r="R58" i="27" s="1"/>
  <c r="P56" i="27"/>
  <c r="P58" i="27" s="1"/>
  <c r="N56" i="27"/>
  <c r="N58" i="27" s="1"/>
  <c r="L56" i="27"/>
  <c r="L58" i="27" s="1"/>
  <c r="J56" i="27"/>
  <c r="J58" i="27" s="1"/>
  <c r="H56" i="27"/>
  <c r="H58" i="27" s="1"/>
  <c r="F56" i="27"/>
  <c r="F58" i="27" s="1"/>
  <c r="D56" i="27"/>
  <c r="D58" i="27" s="1"/>
  <c r="W56" i="27"/>
  <c r="W58" i="27" s="1"/>
  <c r="U56" i="27"/>
  <c r="U58" i="27" s="1"/>
  <c r="S56" i="27"/>
  <c r="S58" i="27" s="1"/>
  <c r="Q56" i="27"/>
  <c r="Q58" i="27" s="1"/>
  <c r="O56" i="27"/>
  <c r="O58" i="27" s="1"/>
  <c r="M56" i="27"/>
  <c r="M58" i="27" s="1"/>
  <c r="K56" i="27"/>
  <c r="K58" i="27" s="1"/>
  <c r="I56" i="27"/>
  <c r="I58" i="27" s="1"/>
  <c r="G56" i="27"/>
  <c r="G58" i="27" s="1"/>
  <c r="E56" i="27"/>
  <c r="E58" i="27" s="1"/>
  <c r="C56" i="27"/>
  <c r="C58" i="27" s="1"/>
  <c r="X69" i="27"/>
  <c r="X71" i="27" s="1"/>
  <c r="V69" i="27"/>
  <c r="V71" i="27" s="1"/>
  <c r="T69" i="27"/>
  <c r="T71" i="27" s="1"/>
  <c r="R69" i="27"/>
  <c r="R71" i="27" s="1"/>
  <c r="P69" i="27"/>
  <c r="P71" i="27" s="1"/>
  <c r="N69" i="27"/>
  <c r="N71" i="27" s="1"/>
  <c r="L69" i="27"/>
  <c r="L71" i="27" s="1"/>
  <c r="J69" i="27"/>
  <c r="J71" i="27" s="1"/>
  <c r="H69" i="27"/>
  <c r="H71" i="27" s="1"/>
  <c r="F69" i="27"/>
  <c r="F71" i="27" s="1"/>
  <c r="D69" i="27"/>
  <c r="D71" i="27" s="1"/>
  <c r="W69" i="27"/>
  <c r="W71" i="27" s="1"/>
  <c r="U69" i="27"/>
  <c r="U71" i="27" s="1"/>
  <c r="S69" i="27"/>
  <c r="S71" i="27" s="1"/>
  <c r="Q69" i="27"/>
  <c r="Q71" i="27" s="1"/>
  <c r="O69" i="27"/>
  <c r="O71" i="27" s="1"/>
  <c r="M69" i="27"/>
  <c r="M71" i="27" s="1"/>
  <c r="K69" i="27"/>
  <c r="K71" i="27" s="1"/>
  <c r="I69" i="27"/>
  <c r="I71" i="27" s="1"/>
  <c r="G69" i="27"/>
  <c r="G71" i="27" s="1"/>
  <c r="E69" i="27"/>
  <c r="E71" i="27" s="1"/>
  <c r="C69" i="27"/>
  <c r="C71" i="27" s="1"/>
</calcChain>
</file>

<file path=xl/comments1.xml><?xml version="1.0" encoding="utf-8"?>
<comments xmlns="http://schemas.openxmlformats.org/spreadsheetml/2006/main">
  <authors>
    <author>Cimander Mariola</author>
  </authors>
  <commentList>
    <comment ref="G11" authorId="0">
      <text>
        <r>
          <rPr>
            <b/>
            <sz val="8"/>
            <color indexed="81"/>
            <rFont val="Tahoma"/>
            <family val="2"/>
            <charset val="238"/>
          </rPr>
          <t xml:space="preserve">Do końca 2007 roku Bank kalkulował bazę kapitałową oraz wymogi kapitałowe zgodnie 
z postanowieniami Basel I.
Począwszy od roku 2008 kalkulacja współczynnika odbywa się w oparciu o postanowienia Basel II.
</t>
        </r>
        <r>
          <rPr>
            <sz val="8"/>
            <color indexed="81"/>
            <rFont val="Tahoma"/>
            <family val="2"/>
            <charset val="238"/>
          </rPr>
          <t xml:space="preserve">
By the end of 2007, the Bank had calculated capital base and capital requirements in accordance  with the provisions of Basel I.
Starting from2008, the rate calculation is based on the provisions of Basel II.</t>
        </r>
      </text>
    </comment>
    <comment ref="V11" authorId="0">
      <text>
        <r>
          <rPr>
            <b/>
            <sz val="8"/>
            <color indexed="81"/>
            <rFont val="Tahoma"/>
            <family val="2"/>
            <charset val="238"/>
          </rPr>
          <t xml:space="preserve">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 AIRB jest niższy niż wg met SA do obliczenia przyjmuje się met SA, przy czy bazę kapitałową (fundusze własne) przyjmuje się wg met AIRB.
</t>
        </r>
        <r>
          <rPr>
            <sz val="8"/>
            <color indexed="81"/>
            <rFont val="Tahoma"/>
            <family val="2"/>
            <charset val="238"/>
          </rPr>
          <t xml:space="preserve">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shall be met by AIRB.</t>
        </r>
      </text>
    </comment>
  </commentList>
</comments>
</file>

<file path=xl/comments2.xml><?xml version="1.0" encoding="utf-8"?>
<comments xmlns="http://schemas.openxmlformats.org/spreadsheetml/2006/main">
  <authors>
    <author>Cimander Mariola</author>
  </authors>
  <commentList>
    <comment ref="G11" authorId="0">
      <text>
        <r>
          <rPr>
            <b/>
            <sz val="8"/>
            <color indexed="81"/>
            <rFont val="Tahoma"/>
            <family val="2"/>
            <charset val="238"/>
          </rPr>
          <t xml:space="preserve">Do końca 2007 roku Bank kalkulował bazę kapitałową oraz wymogi kapitałowe zgodnie z postanowieniami Basel I.
Począwszy od roku 2008 kalkulacja współczynnika odbywa się w oparciu o postanowienia Basel II.
</t>
        </r>
        <r>
          <rPr>
            <sz val="8"/>
            <color indexed="81"/>
            <rFont val="Tahoma"/>
            <family val="2"/>
            <charset val="238"/>
          </rPr>
          <t>By the end of 2007, the Bank had calculated capital base and capital requirements in accordance  with the provisions of Basel I.
Starting from2008, the rate calculation is based on the provisions of Basel II.</t>
        </r>
      </text>
    </comment>
    <comment ref="V11" authorId="0">
      <text>
        <r>
          <rPr>
            <b/>
            <sz val="8"/>
            <color indexed="81"/>
            <rFont val="Tahoma"/>
            <family val="2"/>
            <charset val="238"/>
          </rPr>
          <t xml:space="preserve">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 AIRB jest niższy niż wg met SA do obliczenia przyjmuje się met SA, przy czy bazę kapitałową (fundusze własne) przyjmuje się wg met AIRB.
</t>
        </r>
        <r>
          <rPr>
            <sz val="8"/>
            <color indexed="81"/>
            <rFont val="Tahoma"/>
            <family val="2"/>
            <charset val="238"/>
          </rPr>
          <t xml:space="preserve">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shall be met by AIRB.</t>
        </r>
      </text>
    </comment>
  </commentList>
</comments>
</file>

<file path=xl/sharedStrings.xml><?xml version="1.0" encoding="utf-8"?>
<sst xmlns="http://schemas.openxmlformats.org/spreadsheetml/2006/main" count="1900" uniqueCount="736">
  <si>
    <t xml:space="preserve"> - Przychody z tytułu odsetek</t>
  </si>
  <si>
    <t xml:space="preserve"> - Koszty odsetek</t>
  </si>
  <si>
    <t>Wynik z tytułu odsetek</t>
  </si>
  <si>
    <t xml:space="preserve"> - Przychody z tytułu prowizji</t>
  </si>
  <si>
    <t xml:space="preserve"> - Koszty prowizji</t>
  </si>
  <si>
    <t>Wynik z tytułu prowizji</t>
  </si>
  <si>
    <t>Wynik na działalności podstawowej</t>
  </si>
  <si>
    <t xml:space="preserve"> - Wynik na pozostałych przychodach i kosztach operacyjnych</t>
  </si>
  <si>
    <t xml:space="preserve"> - Odpisy na utratę wartości aktywów finansowych 
   i rezerwy na zobowiazania pozabilansowe</t>
  </si>
  <si>
    <t xml:space="preserve"> - Udział w zyskach netto jednostek stowarzyszonych 
   wycenianych metodą praw własności</t>
  </si>
  <si>
    <t xml:space="preserve">Zysk (strata) brutto </t>
  </si>
  <si>
    <t xml:space="preserve"> - Podatek dochodowy </t>
  </si>
  <si>
    <t>Zysk (strata) netto</t>
  </si>
  <si>
    <t xml:space="preserve">   - przypadający akcjonariuszom niekontrolującym</t>
  </si>
  <si>
    <t>SKONSOLIDOWANY RACHUNEK ZYSKÓW I STRAT
Grupy Kapitałowej ING Banku Śląskiego S.A.</t>
  </si>
  <si>
    <t>(w mln zł)</t>
  </si>
  <si>
    <t>A K T Y W A</t>
  </si>
  <si>
    <t xml:space="preserve">   - Kasa, środki w Banku Centralnym </t>
  </si>
  <si>
    <t xml:space="preserve">   - Kredyty i inne należności udzielone innym bankom</t>
  </si>
  <si>
    <t xml:space="preserve">   - Aktywa finansowe wyceniane do wartości godziwej przez rachunek zysków i strat</t>
  </si>
  <si>
    <t xml:space="preserve">   - Wycena instrumentów pochodnych</t>
  </si>
  <si>
    <t xml:space="preserve">   - Inwestycje:</t>
  </si>
  <si>
    <t xml:space="preserve">          - dostępne do sprzedaży</t>
  </si>
  <si>
    <t xml:space="preserve">          - utrzymywane do terminu wymagalności</t>
  </si>
  <si>
    <t xml:space="preserve">   - Pochodne instrumenty zabezpieczające</t>
  </si>
  <si>
    <t xml:space="preserve">   - Kredyty i inne należności udzielone klientom</t>
  </si>
  <si>
    <t xml:space="preserve">   - Inwestycje w jednostki podporządkowane</t>
  </si>
  <si>
    <t xml:space="preserve">   - Nieruchomości inwestycyjne</t>
  </si>
  <si>
    <t xml:space="preserve">   - Rzeczowe aktywa trwałe</t>
  </si>
  <si>
    <t xml:space="preserve">   - Wartości niematerialne</t>
  </si>
  <si>
    <t xml:space="preserve">   - Aktywa trwałe przeznaczone do sprzedaży </t>
  </si>
  <si>
    <t xml:space="preserve">   - Aktywa z tytułu bieżącego podatku dochodowego</t>
  </si>
  <si>
    <t xml:space="preserve">   - Aktywa z tytułu odroczonego podatku dochodowego</t>
  </si>
  <si>
    <t xml:space="preserve">   - Inne aktywa </t>
  </si>
  <si>
    <t>A k t y w a   r a z e m</t>
  </si>
  <si>
    <t>Z O B O W I Ą Z A N I A   I   K A P I T A Ł Y</t>
  </si>
  <si>
    <t>ZOBOWIĄZANIA</t>
  </si>
  <si>
    <t xml:space="preserve">   - Zobowiązania wobec innych banków</t>
  </si>
  <si>
    <t xml:space="preserve">   - Zobowiązania finansowe wyceniane do wartości godziwej przez rachunek zysków i strat</t>
  </si>
  <si>
    <t xml:space="preserve">   - Zobowiązania wobec klientów</t>
  </si>
  <si>
    <t xml:space="preserve">   - Rezerwy </t>
  </si>
  <si>
    <t xml:space="preserve">   - Zobowiązanie z tytułu bieżącego podatku dochodowego</t>
  </si>
  <si>
    <t xml:space="preserve">   - Rezerwa z tytułu odroczonego podatku dochodowego</t>
  </si>
  <si>
    <t xml:space="preserve">   - Inne zobowiązania </t>
  </si>
  <si>
    <t xml:space="preserve">Z o b o w i ą z a n i a  o g ó ł e m </t>
  </si>
  <si>
    <t xml:space="preserve">KAPITAŁY </t>
  </si>
  <si>
    <t xml:space="preserve">   - Kapitał zakładowy</t>
  </si>
  <si>
    <t xml:space="preserve">   - Kapitał zapasowy - nadwyżka ze sprzedaży akcji powyżej ich wartości nominalnej</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</si>
  <si>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</si>
  <si>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</si>
  <si>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</si>
  <si>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Wycena motywacyjnych programów pracowniczych</t>
  </si>
  <si>
    <t xml:space="preserve">   - Zyski zatrzymane</t>
  </si>
  <si>
    <t>Kapitał własny przypadający akcjonariuszom ING Banku Śląskiego S.A.</t>
  </si>
  <si>
    <t xml:space="preserve">   - Udziały niekontrolujące</t>
  </si>
  <si>
    <t>K a p i t a ł y  w ł a s n e  o g ó ł e m</t>
  </si>
  <si>
    <t>Z o b o w i ą z a n i a  i  k a p i t a ł  w ł a s n y   r a z e m</t>
  </si>
  <si>
    <t>SKONSOLIDOWANE SPRAWOZDANIE Z SYTUACJI FINANSOWEJ
Grupy Kapitałowej ING Banku Śląskiego S.A.</t>
  </si>
  <si>
    <t xml:space="preserve">          - Koszty pracownicze</t>
  </si>
  <si>
    <t xml:space="preserve">          - Amortyzacja</t>
  </si>
  <si>
    <t xml:space="preserve">          - Pozostałe</t>
  </si>
  <si>
    <t>SKONSOLIDOWANY RACHUNEK ZYSKÓW I STRAT
Segment klientów detalicznych</t>
  </si>
  <si>
    <t>Przychody ogółem*</t>
  </si>
  <si>
    <t>Koszty ogółem</t>
  </si>
  <si>
    <t>*/ włączając udział w zyskach netto jednostek stowarzyszonych wykazywanych metodą praw własności</t>
  </si>
  <si>
    <t>SKONSOLIDOWANY RACHUNEK ZYSKÓW I STRAT
Segment bankowości korporacyjnej</t>
  </si>
  <si>
    <t>Razem przychody z tytułu odsetek</t>
  </si>
  <si>
    <t>Przychody z tytułu odsetek</t>
  </si>
  <si>
    <t xml:space="preserve"> - odsetki od kredytów i innych należności udzielonych klientom</t>
  </si>
  <si>
    <t xml:space="preserve"> - odsetki od kredytów i innych należności udzielonych bankom</t>
  </si>
  <si>
    <t xml:space="preserve"> - odsetki od dłużnych papierów wartościowych </t>
  </si>
  <si>
    <t xml:space="preserve"> - odsetki od umów leasingowych</t>
  </si>
  <si>
    <t xml:space="preserve"> - odsetki od umów factoringowych</t>
  </si>
  <si>
    <t xml:space="preserve"> - wynik odsetkowy na instrumentach pochodnych</t>
  </si>
  <si>
    <t xml:space="preserve"> - inne</t>
  </si>
  <si>
    <t>Koszty odsetek</t>
  </si>
  <si>
    <t xml:space="preserve"> - odsetki od zobowiązań wobec innych banków</t>
  </si>
  <si>
    <t xml:space="preserve"> - odsetki od zobowiązań wobec klientów</t>
  </si>
  <si>
    <t>Razem koszty odsetek</t>
  </si>
  <si>
    <t xml:space="preserve">Wynik z tytułu prowizji </t>
  </si>
  <si>
    <t xml:space="preserve">Przychody z tytułu prowizji </t>
  </si>
  <si>
    <t>Razem przychody z tytułu prowizji</t>
  </si>
  <si>
    <t xml:space="preserve"> - prowizje związane z działalnością maklerską</t>
  </si>
  <si>
    <t xml:space="preserve"> - prowizje związane z prowadzeniem rachunków klientów</t>
  </si>
  <si>
    <t xml:space="preserve"> - prowizje związane z kartami płatniczymi i kredytowymi</t>
  </si>
  <si>
    <t xml:space="preserve"> - prowizje związane z udzielaniem kredytów</t>
  </si>
  <si>
    <t xml:space="preserve"> - prowizje związane z dystrybucją jednostek uczestnictwa</t>
  </si>
  <si>
    <t xml:space="preserve"> - prowizje za usługi powiernictwa i za przechowywanie papierów wartościowych</t>
  </si>
  <si>
    <t xml:space="preserve"> - prowizje związane z usługami faktoringowymi</t>
  </si>
  <si>
    <t xml:space="preserve"> - prowizje za zagraniczne operacje handlowe</t>
  </si>
  <si>
    <t xml:space="preserve"> - prowizje związane z ubezpieczeniem kredytów</t>
  </si>
  <si>
    <t xml:space="preserve"> - prowizje związane z udostępnieniem ubezpieczenia dla produktów depozytowych</t>
  </si>
  <si>
    <t xml:space="preserve"> - prowizje związane z subskrypcją depozytów strukturyzowanych</t>
  </si>
  <si>
    <t xml:space="preserve"> - prowizje z tytułu pośrednictwa w sprzedaży produktów finansowych</t>
  </si>
  <si>
    <t xml:space="preserve"> - marża transakcyjna na transakcjach wymiany walut</t>
  </si>
  <si>
    <t xml:space="preserve"> - pozostałe prowizje</t>
  </si>
  <si>
    <t xml:space="preserve">Koszty prowizji </t>
  </si>
  <si>
    <t xml:space="preserve"> - w tym koszty BFG</t>
  </si>
  <si>
    <t>Wynik na instrumentach finansowych wycenianych przez rachunek zysków i strat oraz wynik z pozycji wymiany</t>
  </si>
  <si>
    <t>Wynik - pozostałe</t>
  </si>
  <si>
    <t>Wynik na wycenie do wartości godziwej instrumentów przeznaczonych do obrotu, w tym:</t>
  </si>
  <si>
    <t xml:space="preserve">     - Wynik na instrumentach kapitałowych</t>
  </si>
  <si>
    <t xml:space="preserve">     - Wynik na instrumentach dłużnych</t>
  </si>
  <si>
    <t xml:space="preserve">            - transakcje pochodne związane z papierami wartościowymi</t>
  </si>
  <si>
    <t>Wynik z pozycji wymiany</t>
  </si>
  <si>
    <t xml:space="preserve">     - Wynik na instrumentach pochodnych:</t>
  </si>
  <si>
    <t xml:space="preserve">            - transakcje pochodne walutowe</t>
  </si>
  <si>
    <t xml:space="preserve">            - transakcje pochodne na stopę procentową</t>
  </si>
  <si>
    <t>Wynik z tytułu aktywów i zobowiązań finansowych wycenianych wg wartości godziwej przy początkowym ujęciu, w tym:</t>
  </si>
  <si>
    <t>Wynik na instrumentach kapitałowych dostępnych do sprzedaży</t>
  </si>
  <si>
    <t>Wynik na instrumentach dłużnych dostępnych do sprzedaży</t>
  </si>
  <si>
    <t>Przychody z tytułu dywidend</t>
  </si>
  <si>
    <t>Wynik na inwestycjach</t>
  </si>
  <si>
    <t>Rachunkowość zabezpieczeń wartości godziwej papierów wartościowych</t>
  </si>
  <si>
    <t>Rachunkowość zabezpieczeń przepływów pieniężnych</t>
  </si>
  <si>
    <t>Razem</t>
  </si>
  <si>
    <t xml:space="preserve">     - wycena transakcji zabezpieczanej </t>
  </si>
  <si>
    <t xml:space="preserve">     - wycena transakcji zabezpieczającej</t>
  </si>
  <si>
    <t xml:space="preserve">     - nieefektywność wynikająca z zabezpieczeń przepływów pieniężnych</t>
  </si>
  <si>
    <t>Wynik na rachunkowości zabezpieczeń</t>
  </si>
  <si>
    <t>Aktywa finansowe</t>
  </si>
  <si>
    <t>Aktywa finansowe przeznaczone do obrotu, w tym:</t>
  </si>
  <si>
    <t xml:space="preserve">     - instrumenty dłużne</t>
  </si>
  <si>
    <t xml:space="preserve">     - instrumenty kapitałowe</t>
  </si>
  <si>
    <t xml:space="preserve">     - transakcje z przyrzeczeniem odkupu (buy-sell-back)</t>
  </si>
  <si>
    <t>Aktywa finansowe dostępne do sprzedaży, w tym:</t>
  </si>
  <si>
    <t xml:space="preserve">     - instrumenty dłużne, w tym:</t>
  </si>
  <si>
    <t xml:space="preserve">          - pozycje zabezpieczane w rachunkowości zabezpieczeń wartości godziwej</t>
  </si>
  <si>
    <t>Aktywa finansowe utrzymywane do terminu wymagalności, w tym:</t>
  </si>
  <si>
    <t>Inwestycje</t>
  </si>
  <si>
    <t>Kredyty i inne należności udzielone klientom</t>
  </si>
  <si>
    <t>Kredyty i pożyczki</t>
  </si>
  <si>
    <t>Należności leasingowe</t>
  </si>
  <si>
    <t>Należności faktoringowe</t>
  </si>
  <si>
    <t>Dłużne papiery wartościowe, w tym:</t>
  </si>
  <si>
    <t xml:space="preserve">     - euroobligacje</t>
  </si>
  <si>
    <t>Transakcje z przyrzeczeniem odkupu (reverse repo)</t>
  </si>
  <si>
    <t>Pozostałe należności</t>
  </si>
  <si>
    <t>Razem (brutto)</t>
  </si>
  <si>
    <t>Odpis aktualizujący z tytułu utraty wartości, w tym:</t>
  </si>
  <si>
    <t xml:space="preserve">     - dotyczący kredytów i pożyczek</t>
  </si>
  <si>
    <t xml:space="preserve">     - dotyczący należności leasingowych</t>
  </si>
  <si>
    <t xml:space="preserve">     - dotyczący należności faktoringowych</t>
  </si>
  <si>
    <t xml:space="preserve">     - dotyczący dłużnych papierów wartościowych</t>
  </si>
  <si>
    <t xml:space="preserve">     - dotyczący pozostałych należności </t>
  </si>
  <si>
    <t>Kredyty i inne należności udzielone innym niż banki podmiotom sektora finansowego</t>
  </si>
  <si>
    <t>Kredyty i pożyczki, w tym:</t>
  </si>
  <si>
    <t xml:space="preserve">     - w rachunku bieżącym</t>
  </si>
  <si>
    <t xml:space="preserve">     - terminowe</t>
  </si>
  <si>
    <t>Razem (netto)</t>
  </si>
  <si>
    <t>Kredyty i inne należności udzielone podmiotom sektora niefinansowego</t>
  </si>
  <si>
    <t>Kredyty i pożyczki udzielone podmiotom gospodarczym, w tym:</t>
  </si>
  <si>
    <t>Kredyty i pożyczki udzielone gospodarstwom domowym, w tym:</t>
  </si>
  <si>
    <t>Dłużne papiery wartościowe</t>
  </si>
  <si>
    <t xml:space="preserve">     - dotyczący pozostałych należności</t>
  </si>
  <si>
    <t>Kredyty i inne należności udzielone podmiotom sektora instytucji rządowych i samorządowych</t>
  </si>
  <si>
    <t>Kredyty i inne należności udzielone klientom (netto), w tym:</t>
  </si>
  <si>
    <t xml:space="preserve">   - udzielone innym niż banki podmiotom sektora finansowego</t>
  </si>
  <si>
    <t xml:space="preserve">   - udzielone podmiotom sektora niefinansowego</t>
  </si>
  <si>
    <t xml:space="preserve">   - udzielone podmiotom sektora instytucji rządowych i samorządowych</t>
  </si>
  <si>
    <t xml:space="preserve">     - dotyczący kredytów i pożyczek udzielonych podmiotom gospodarczym</t>
  </si>
  <si>
    <t xml:space="preserve">     - dotyczący kredytów i pożyczek udzielonych gospodarstwom domowym</t>
  </si>
  <si>
    <t>Jakość portfela kredytów i pożyczek</t>
  </si>
  <si>
    <t>Działalność korporacyjna</t>
  </si>
  <si>
    <t>Zaangażowanie</t>
  </si>
  <si>
    <t xml:space="preserve">   - portfel bez przesłanki utraty wartości</t>
  </si>
  <si>
    <t xml:space="preserve">   - portfel z przesłanką utraty wartości</t>
  </si>
  <si>
    <t>Odpis aktualizujący z tytułu utraty wartości i rezerwy</t>
  </si>
  <si>
    <t xml:space="preserve">   - odpis dotyczący portfela bez przesłanki utraty wartości</t>
  </si>
  <si>
    <t xml:space="preserve">   - odpis dotyczący portfela z przesłanką utraty wartości</t>
  </si>
  <si>
    <t xml:space="preserve">   - rezerwy na zobowiązania pozabilansowe</t>
  </si>
  <si>
    <t>Działalność detaliczna</t>
  </si>
  <si>
    <t xml:space="preserve">   - dotyczący portfela bez przesłanki utraty wartości</t>
  </si>
  <si>
    <t xml:space="preserve">   - dotyczący portfela z przesłanką utraty wartości</t>
  </si>
  <si>
    <t>Zaangażowanie ogółem</t>
  </si>
  <si>
    <t>Odpis aktualizujący z tytułu utraty wartości i rezerwy ogółem, w tym:</t>
  </si>
  <si>
    <t xml:space="preserve">     - odpis aktualizujący z tytułu utraty wartości</t>
  </si>
  <si>
    <t xml:space="preserve">     - rezerwy na zobowiązania pozabilansowe</t>
  </si>
  <si>
    <t>Współczynnik pokrycia portfela ogółem</t>
  </si>
  <si>
    <t>Depozyty</t>
  </si>
  <si>
    <t>Transakcje z przyrzeczeniem odkupu (repo)</t>
  </si>
  <si>
    <t>Pozostałe zobowiązania</t>
  </si>
  <si>
    <t>Zobowiązania wobec innych niż banki podmiotów sektora finansowego</t>
  </si>
  <si>
    <t>Depozyty, w tym:</t>
  </si>
  <si>
    <t xml:space="preserve">     - rachunki bieżące</t>
  </si>
  <si>
    <t xml:space="preserve">     - rachunki terminowe</t>
  </si>
  <si>
    <t xml:space="preserve">Razem </t>
  </si>
  <si>
    <t>Zobowiązania wobec podmiotów sektora niefinansowego</t>
  </si>
  <si>
    <t>Depozyty podmiotów gospodarczych, w tym:</t>
  </si>
  <si>
    <t>Depozyty gospodarstw domowych, w tym:</t>
  </si>
  <si>
    <t xml:space="preserve">     - rachunki oszczędnościowe i terminowe</t>
  </si>
  <si>
    <t>Zobowiązania wobec podmiotów sektora instytucji rządowych i samorządowych</t>
  </si>
  <si>
    <t>Zobowiązania wobec klientów</t>
  </si>
  <si>
    <t>Razem zobowiązania wobec klientów, w tym:</t>
  </si>
  <si>
    <t xml:space="preserve">     - wobec innych niż banki podmiotów sektora finansowego</t>
  </si>
  <si>
    <t xml:space="preserve">     - wobec podmiotów sektora niefinansowego</t>
  </si>
  <si>
    <t xml:space="preserve">     - wobec podmiotów sektora instytucji rządowych i samorządowych</t>
  </si>
  <si>
    <t>Współczynnik wypłacalności</t>
  </si>
  <si>
    <t>Kapitał zakładowy</t>
  </si>
  <si>
    <t>Premia emisyjna</t>
  </si>
  <si>
    <t>Pozostałe składniki kapitału zapasowego</t>
  </si>
  <si>
    <t>Kapitał rezerwowy łącznie z niepodzielonym zyskiem z lat ubiegłych</t>
  </si>
  <si>
    <t>Zysk netto bieżącego okresu w części zaudytowanej</t>
  </si>
  <si>
    <t>Zysk w trakcie zatwierdzania</t>
  </si>
  <si>
    <t>Udziały niekontrolujące</t>
  </si>
  <si>
    <t>Fundusz ogólnego ryzyka</t>
  </si>
  <si>
    <t xml:space="preserve">Fundusze własne z aktualizacji wyceny </t>
  </si>
  <si>
    <t xml:space="preserve">Korekta funduszy o wartości niematerialne </t>
  </si>
  <si>
    <t>Kapitał krótkoterminowy</t>
  </si>
  <si>
    <t>Razem fundusze własne</t>
  </si>
  <si>
    <t>Wymogi kapitałowe</t>
  </si>
  <si>
    <t>Wymogi kapitałowe dla ryzyka kredytowego, kredytowego kontrahenta, rozmycia i dostawy instrumentów do rozliczenia w późniejszym terminie</t>
  </si>
  <si>
    <t>Wymóg kapitałowy z tytułu ryzyka rozliczenia - dostawy</t>
  </si>
  <si>
    <t>Wymogi kapitałowe dla ryzyka cen kapitałowych papierów wartościowych, ryzyka cen instrumentów dłużnych, walutowego i cen towarów</t>
  </si>
  <si>
    <t>Wymóg kapitałowy z tytułu ryzyka ogólnego stóp procentowych</t>
  </si>
  <si>
    <t xml:space="preserve">Wymóg kapitałowy z tytułu przekroczenia limitu koncentracji zaangażowań </t>
  </si>
  <si>
    <t>Całkowity wymóg kapitałowy</t>
  </si>
  <si>
    <t>Fundusze własne</t>
  </si>
  <si>
    <t>Zaangażowania kapitałowe w instytucje finansowe</t>
  </si>
  <si>
    <t>Kwota oczekiwanych strat</t>
  </si>
  <si>
    <t>Wymogi kapitałowe razem z tytułu ryzyka operacyjnego</t>
  </si>
  <si>
    <t>Pozostałe informacje</t>
  </si>
  <si>
    <t>Zatrudnienie</t>
  </si>
  <si>
    <t xml:space="preserve"> - Zatrudnienie w Grupie Kapitałowej ING Banku Śląskiego S.A.</t>
  </si>
  <si>
    <t xml:space="preserve"> - Zatrudnienie w ING Banku Śląskim S.A.</t>
  </si>
  <si>
    <t>Liczba placówek Banku</t>
  </si>
  <si>
    <t>Karty płatnicze, z czego:</t>
  </si>
  <si>
    <t>Karty bankowe (w tys.)</t>
  </si>
  <si>
    <t>Koszty ryzyka</t>
  </si>
  <si>
    <t>Zysk brutto</t>
  </si>
  <si>
    <t>Suma bilansowa</t>
  </si>
  <si>
    <t>Zysk netto/Kapitały (ROE) w %</t>
  </si>
  <si>
    <t>Koszty/Dochody w %</t>
  </si>
  <si>
    <t>Zysk na 1 akcję w zł</t>
  </si>
  <si>
    <t>Liczba placówek</t>
  </si>
  <si>
    <t>Liczba pracowników</t>
  </si>
  <si>
    <t>Kluczowe informacje finansowe i biznesowe</t>
  </si>
  <si>
    <t>Podstawowe wskaźniki:</t>
  </si>
  <si>
    <t xml:space="preserve">Informacje dla inwestorów i akcjonariuszy: </t>
  </si>
  <si>
    <t>Kapitalizacja giełdowa</t>
  </si>
  <si>
    <t>Wynik finansowy:</t>
  </si>
  <si>
    <t>Wartość księgowa</t>
  </si>
  <si>
    <t>Kurs akcji w zł</t>
  </si>
  <si>
    <t>Pozostałe dane ilościowe:</t>
  </si>
  <si>
    <r>
      <t>1</t>
    </r>
    <r>
      <rPr>
        <i/>
        <sz val="8"/>
        <color indexed="8"/>
        <rFont val="Arial"/>
        <family val="2"/>
        <charset val="238"/>
      </rPr>
      <t xml:space="preserve"> Łącznie z zyskiem netto jednostek stowarzyszonych wykazywanych metodą praw własności. </t>
    </r>
  </si>
  <si>
    <r>
      <t>2</t>
    </r>
    <r>
      <rPr>
        <i/>
        <sz val="8"/>
        <color indexed="8"/>
        <rFont val="Arial"/>
        <family val="2"/>
        <charset val="238"/>
      </rPr>
      <t xml:space="preserve"> Koszty działania z amortyzacją oraz z wynikiem na pozostałej działalności operacyjnej.</t>
    </r>
  </si>
  <si>
    <r>
      <t>4</t>
    </r>
    <r>
      <rPr>
        <i/>
        <sz val="8"/>
        <color indexed="8"/>
        <rFont val="Arial"/>
        <family val="2"/>
        <charset val="238"/>
      </rPr>
      <t xml:space="preserve"> Z wyłączeniem portfela Euroobligacji</t>
    </r>
  </si>
  <si>
    <r>
      <t>5</t>
    </r>
    <r>
      <rPr>
        <i/>
        <sz val="8"/>
        <color indexed="8"/>
        <rFont val="Arial"/>
        <family val="2"/>
        <charset val="238"/>
      </rPr>
      <t xml:space="preserve"> Kapitały własne jednostki dominującej </t>
    </r>
  </si>
  <si>
    <t>Współczynnik wypłacalności jednostkowy w %</t>
  </si>
  <si>
    <t>Współczynnik wypłacalności skonsolidowany w %</t>
  </si>
  <si>
    <t>Liczba klientów detalicznych w tys</t>
  </si>
  <si>
    <r>
      <rPr>
        <i/>
        <vertAlign val="superscript"/>
        <sz val="8"/>
        <color indexed="8"/>
        <rFont val="Arial"/>
        <family val="2"/>
        <charset val="238"/>
      </rPr>
      <t xml:space="preserve">3 </t>
    </r>
    <r>
      <rPr>
        <i/>
        <sz val="8"/>
        <color indexed="8"/>
        <rFont val="Arial"/>
        <family val="2"/>
        <charset val="238"/>
      </rPr>
      <t>Przypadający na akcjonariuszy jednostki dominującej.</t>
    </r>
  </si>
  <si>
    <t>Wartość księgowa na jedną akcję w zł</t>
  </si>
  <si>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</si>
  <si>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</si>
  <si>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</si>
  <si>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</si>
  <si>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</si>
  <si>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</si>
  <si>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</si>
  <si>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</si>
  <si>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</si>
  <si>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</si>
  <si>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</si>
  <si>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</si>
  <si>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</si>
  <si>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</si>
  <si>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</si>
  <si>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</si>
  <si>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Other</t>
  </si>
  <si>
    <t xml:space="preserve"> - Result on other operating income and expenses</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</si>
  <si>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</si>
  <si>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</si>
  <si>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</si>
  <si>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</si>
  <si>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</si>
  <si>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</si>
  <si>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</si>
  <si>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</si>
  <si>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</si>
  <si>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</si>
  <si>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</si>
  <si>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</si>
  <si>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</si>
  <si>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</si>
  <si>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</si>
  <si>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</si>
  <si>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</si>
  <si>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</si>
  <si>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</si>
  <si>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</si>
  <si>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</si>
  <si>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</si>
  <si>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</si>
  <si>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</si>
  <si>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</si>
  <si>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</si>
  <si>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</si>
  <si>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</si>
  <si>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</si>
  <si>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</si>
  <si>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</si>
  <si>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</si>
  <si>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</si>
  <si>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</si>
  <si>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</si>
  <si>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</si>
  <si>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</si>
  <si>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</si>
  <si>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</si>
  <si>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</si>
  <si>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</si>
  <si>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</si>
  <si>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</si>
  <si>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</si>
  <si>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</si>
  <si>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</si>
  <si>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</si>
  <si>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</si>
  <si>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</si>
  <si>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</si>
  <si>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</si>
  <si>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</si>
  <si>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</si>
  <si>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</si>
  <si>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</si>
  <si>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</si>
  <si>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</si>
  <si>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</si>
  <si>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on debt securities</t>
  </si>
  <si>
    <t xml:space="preserve"> - interest on leasing agreements</t>
  </si>
  <si>
    <t xml:space="preserve"> - interest on factoring agreements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</si>
  <si>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</si>
  <si>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</si>
  <si>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</si>
  <si>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</si>
  <si>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</si>
  <si>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</si>
  <si>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</si>
  <si>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</si>
  <si>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</si>
  <si>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</si>
  <si>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</si>
  <si>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</si>
  <si>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</si>
  <si>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</si>
  <si>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</si>
  <si>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loans insurance</t>
  </si>
  <si>
    <t xml:space="preserve"> - commissions related to rendering the insurance available for deposit products</t>
  </si>
  <si>
    <t xml:space="preserve"> - commission related to subscription of structured products</t>
  </si>
  <si>
    <t xml:space="preserve"> - commission related to sales of financial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</si>
  <si>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</si>
  <si>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</si>
  <si>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</si>
  <si>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</si>
  <si>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</si>
  <si>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</si>
  <si>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</si>
  <si>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</si>
  <si>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</si>
  <si>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</si>
  <si>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</si>
  <si>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</si>
  <si>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</si>
  <si>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</si>
  <si>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</si>
  <si>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</si>
  <si>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</si>
  <si>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</si>
  <si>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</si>
  <si>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</si>
  <si>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</si>
  <si>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</si>
  <si>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</si>
  <si>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</si>
  <si>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</si>
  <si>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</si>
  <si>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</si>
  <si>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</si>
  <si>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</si>
  <si>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</si>
  <si>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</si>
  <si>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</si>
  <si>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</si>
  <si>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</si>
  <si>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Loans and advances</t>
  </si>
  <si>
    <t>Leasing receivables</t>
  </si>
  <si>
    <t>Factoring receivables</t>
  </si>
  <si>
    <t>Debt securities, of which:</t>
  </si>
  <si>
    <t xml:space="preserve"> - T-eurobonds</t>
  </si>
  <si>
    <t>Reverse repo transactions</t>
  </si>
  <si>
    <t>Other receivables</t>
  </si>
  <si>
    <t>Total loans and receivables to customers (gross)</t>
  </si>
  <si>
    <t>Impairment losses, of which:</t>
  </si>
  <si>
    <t xml:space="preserve"> - concerning loans and advances</t>
  </si>
  <si>
    <t xml:space="preserve"> - concerning leasing receivables</t>
  </si>
  <si>
    <t xml:space="preserve"> - concerning factoring receivables</t>
  </si>
  <si>
    <t xml:space="preserve"> - concerning debt securities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</si>
  <si>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</si>
  <si>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</si>
  <si>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</si>
  <si>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</si>
  <si>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</si>
  <si>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</si>
  <si>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</si>
  <si>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</si>
  <si>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</si>
  <si>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advances granted to business entities, of which:</t>
  </si>
  <si>
    <t>Loans and advances granted to households, of which:</t>
  </si>
  <si>
    <t>Debt securities</t>
  </si>
  <si>
    <t xml:space="preserve"> - concerning loans and advances to business entities</t>
  </si>
  <si>
    <t xml:space="preserve"> - concerning loans and advances to households</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</si>
  <si>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</si>
  <si>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</si>
  <si>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</si>
  <si>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</si>
  <si>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</si>
  <si>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</si>
  <si>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</si>
  <si>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</si>
  <si>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</si>
  <si>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</si>
  <si>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</si>
  <si>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</si>
  <si>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</si>
  <si>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</si>
  <si>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</si>
  <si>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</si>
  <si>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</si>
  <si>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</si>
  <si>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</si>
  <si>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Repo transactions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</si>
  <si>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</si>
  <si>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</si>
  <si>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</si>
  <si>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</si>
  <si>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</si>
  <si>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</si>
  <si>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Business entities’ deposits</t>
  </si>
  <si>
    <t>Households' deposits</t>
  </si>
  <si>
    <t xml:space="preserve"> - saving accounts and term deposits</t>
  </si>
  <si>
    <t>Liabilities due to entities from the government and self-government institutions’ sector</t>
  </si>
  <si>
    <t>Solvency ratio</t>
  </si>
  <si>
    <t>Own funds</t>
  </si>
  <si>
    <t>Share capital</t>
  </si>
  <si>
    <t>Issue premium</t>
  </si>
  <si>
    <t>Other supplementary capital</t>
  </si>
  <si>
    <t>Capital reserve including retained profit of past years</t>
  </si>
  <si>
    <t>Net profit of current period in audited part</t>
  </si>
  <si>
    <t>Non-controlling interests</t>
  </si>
  <si>
    <t>General risk fund</t>
  </si>
  <si>
    <t>Revaluation reserve</t>
  </si>
  <si>
    <t>Funds adjustment by intangibles</t>
  </si>
  <si>
    <t>Funds adjustment by capital commitments in financial institutions</t>
  </si>
  <si>
    <t>Short-term capital</t>
  </si>
  <si>
    <t>Total own funds</t>
  </si>
  <si>
    <t>Amount of expected losses</t>
  </si>
  <si>
    <t>Net profit under approval</t>
  </si>
  <si>
    <t>Capital requirements</t>
  </si>
  <si>
    <t>Capital requirements for credit risk, credit counterparty, dilution and delivery
of instruments for future settlement</t>
  </si>
  <si>
    <t>Capital requirement for the risk of settlement - delivery</t>
  </si>
  <si>
    <t>Capital requirements for the capital securities rate risk, debt instruments rates
risk, FX risk and commodity rates risk</t>
  </si>
  <si>
    <t>Capital requirement for operational risk</t>
  </si>
  <si>
    <t>Capital requirement for general interest rate risk</t>
  </si>
  <si>
    <t>Capital requirement due to exposure concentration limit overrun</t>
  </si>
  <si>
    <t>Total capital requirement</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</si>
  <si>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</si>
  <si>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</si>
  <si>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</si>
  <si>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</si>
  <si>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</si>
  <si>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</si>
  <si>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</si>
  <si>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</si>
  <si>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</si>
  <si>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</si>
  <si>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</si>
  <si>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</si>
  <si>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</si>
  <si>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</si>
  <si>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</si>
  <si>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charset val="238"/>
      </rPr>
      <t>1</t>
    </r>
  </si>
  <si>
    <r>
      <t xml:space="preserve">Costs </t>
    </r>
    <r>
      <rPr>
        <vertAlign val="superscript"/>
        <sz val="9"/>
        <rFont val="Arial"/>
        <family val="2"/>
        <charset val="238"/>
      </rPr>
      <t>2</t>
    </r>
  </si>
  <si>
    <r>
      <t xml:space="preserve">Net profit </t>
    </r>
    <r>
      <rPr>
        <vertAlign val="superscript"/>
        <sz val="9"/>
        <rFont val="Arial"/>
        <family val="2"/>
        <charset val="238"/>
      </rPr>
      <t>3</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</si>
  <si>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</si>
  <si>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</si>
  <si>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</si>
  <si>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</si>
  <si>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</si>
  <si>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</si>
  <si>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</si>
  <si>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</si>
  <si>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</si>
  <si>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</si>
  <si>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</si>
  <si>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</si>
  <si>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r>
      <t xml:space="preserve">Equity </t>
    </r>
    <r>
      <rPr>
        <vertAlign val="superscript"/>
        <sz val="9"/>
        <rFont val="Arial"/>
        <family val="2"/>
        <charset val="238"/>
      </rPr>
      <t>5</t>
    </r>
  </si>
  <si>
    <t>Basic ratios:</t>
  </si>
  <si>
    <t>Other quantitative data:</t>
  </si>
  <si>
    <t>Net book value</t>
  </si>
  <si>
    <t>Information for investors and shareholders:</t>
  </si>
  <si>
    <t>Share price in PLN</t>
  </si>
  <si>
    <t>Net book value per share in PLN</t>
  </si>
  <si>
    <t>Market capitalisation</t>
  </si>
  <si>
    <r>
      <t>5</t>
    </r>
    <r>
      <rPr>
        <i/>
        <sz val="8"/>
        <color indexed="8"/>
        <rFont val="Arial"/>
        <family val="2"/>
        <charset val="238"/>
      </rPr>
      <t xml:space="preserve"> Equity of the parent entity</t>
    </r>
  </si>
  <si>
    <r>
      <t xml:space="preserve">Net interest margin (NIM) as % </t>
    </r>
    <r>
      <rPr>
        <vertAlign val="superscript"/>
        <sz val="9"/>
        <rFont val="Arial"/>
        <family val="2"/>
        <charset val="238"/>
      </rPr>
      <t>6</t>
    </r>
  </si>
  <si>
    <r>
      <t>6</t>
    </r>
    <r>
      <rPr>
        <i/>
        <sz val="8"/>
        <color indexed="8"/>
        <rFont val="Arial"/>
        <family val="2"/>
        <charset val="238"/>
      </rPr>
      <t xml:space="preserve"> Sum of NII of 4 consecutive quarters / average interest bearing assets of 5 consecutive quarters</t>
    </r>
  </si>
  <si>
    <r>
      <t>4</t>
    </r>
    <r>
      <rPr>
        <i/>
        <sz val="8"/>
        <color indexed="8"/>
        <rFont val="Arial"/>
        <family val="2"/>
        <charset val="238"/>
      </rPr>
      <t xml:space="preserve"> Excluding T-eurobonds</t>
    </r>
  </si>
  <si>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</si>
  <si>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</si>
  <si>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</si>
  <si>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</si>
  <si>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</si>
  <si>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</si>
  <si>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</si>
  <si>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</si>
  <si>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</si>
  <si>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</si>
  <si>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</si>
  <si>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</si>
  <si>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</si>
  <si>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</si>
  <si>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</si>
  <si>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</si>
  <si>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</si>
  <si>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</si>
  <si>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</si>
  <si>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</si>
  <si>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</si>
  <si>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</si>
  <si>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</si>
  <si>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</si>
  <si>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</si>
  <si>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</si>
  <si>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</si>
  <si>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</si>
  <si>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</si>
  <si>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</si>
  <si>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</si>
  <si>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</si>
  <si>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</si>
  <si>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</si>
  <si>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</si>
  <si>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</si>
  <si>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r>
      <t xml:space="preserve">Przychody </t>
    </r>
    <r>
      <rPr>
        <vertAlign val="superscript"/>
        <sz val="8"/>
        <rFont val="Arial"/>
        <family val="2"/>
        <charset val="238"/>
      </rPr>
      <t>1</t>
    </r>
  </si>
  <si>
    <r>
      <t xml:space="preserve">Koszty </t>
    </r>
    <r>
      <rPr>
        <vertAlign val="superscript"/>
        <sz val="8"/>
        <rFont val="Arial"/>
        <family val="2"/>
        <charset val="238"/>
      </rPr>
      <t>2</t>
    </r>
  </si>
  <si>
    <r>
      <t xml:space="preserve">Zysk netto </t>
    </r>
    <r>
      <rPr>
        <vertAlign val="superscript"/>
        <sz val="8"/>
        <rFont val="Arial"/>
        <family val="2"/>
        <charset val="238"/>
      </rPr>
      <t>3</t>
    </r>
  </si>
  <si>
    <r>
      <t>Kredyty i inne należności udzielone klientom netto</t>
    </r>
    <r>
      <rPr>
        <vertAlign val="superscript"/>
        <sz val="8"/>
        <rFont val="Arial"/>
        <family val="2"/>
        <charset val="238"/>
      </rPr>
      <t xml:space="preserve"> 4</t>
    </r>
    <r>
      <rPr>
        <sz val="8"/>
        <rFont val="Arial"/>
        <family val="2"/>
        <charset val="238"/>
      </rPr>
      <t>,</t>
    </r>
    <r>
      <rPr>
        <vertAlign val="superscript"/>
        <sz val="8"/>
        <rFont val="Arial"/>
        <family val="2"/>
        <charset val="238"/>
      </rPr>
      <t xml:space="preserve"> </t>
    </r>
    <r>
      <rPr>
        <sz val="8"/>
        <rFont val="Arial"/>
        <family val="2"/>
        <charset val="238"/>
      </rPr>
      <t>w tym:</t>
    </r>
  </si>
  <si>
    <t xml:space="preserve">   Kredyty </t>
  </si>
  <si>
    <t xml:space="preserve">   Należności leasingowe</t>
  </si>
  <si>
    <t xml:space="preserve">   Należności faktoringowe</t>
  </si>
  <si>
    <r>
      <t xml:space="preserve">Kapitały własne </t>
    </r>
    <r>
      <rPr>
        <vertAlign val="superscript"/>
        <sz val="8"/>
        <rFont val="Arial"/>
        <family val="2"/>
        <charset val="238"/>
      </rPr>
      <t>5</t>
    </r>
  </si>
  <si>
    <t xml:space="preserve">   - nadzorczy</t>
  </si>
  <si>
    <t xml:space="preserve">   - obliczony z zastosowaniem metody zawansowanej (AIRB)</t>
  </si>
  <si>
    <t xml:space="preserve">   - obliczony z zastosowaniem metody standardowej (SA)</t>
  </si>
  <si>
    <t>Zysk netto/suma bilansowa (ROA) w %</t>
  </si>
  <si>
    <t>Koszty/Dochody w % - narastająco</t>
  </si>
  <si>
    <r>
      <t xml:space="preserve">Marża odsetkowa netto w % </t>
    </r>
    <r>
      <rPr>
        <vertAlign val="superscript"/>
        <sz val="8"/>
        <rFont val="Arial"/>
        <family val="2"/>
        <charset val="238"/>
      </rPr>
      <t>6</t>
    </r>
  </si>
  <si>
    <t>-</t>
  </si>
  <si>
    <r>
      <t>6</t>
    </r>
    <r>
      <rPr>
        <i/>
        <sz val="8"/>
        <color indexed="8"/>
        <rFont val="Arial"/>
        <family val="2"/>
        <charset val="238"/>
      </rPr>
      <t xml:space="preserve"> Suma wyniku odsetkowego dla 4 kolejnych kwartałów / średnia wartośc aktywów odsetkowych dla 5 kolejnych kwartałów</t>
    </r>
  </si>
  <si>
    <r>
      <t>1</t>
    </r>
    <r>
      <rPr>
        <i/>
        <sz val="8"/>
        <color theme="1"/>
        <rFont val="Arial"/>
        <family val="2"/>
        <charset val="238"/>
      </rPr>
      <t xml:space="preserve"> Including net profit of affiliated entities recognised on an equity basis.</t>
    </r>
  </si>
  <si>
    <r>
      <t xml:space="preserve">2 </t>
    </r>
    <r>
      <rPr>
        <i/>
        <sz val="8"/>
        <color theme="1"/>
        <rFont val="Arial"/>
        <family val="2"/>
        <charset val="238"/>
      </rPr>
      <t>Operating expenses with amortization/depreciation and result on other operating activities.</t>
    </r>
  </si>
  <si>
    <r>
      <rPr>
        <i/>
        <vertAlign val="superscript"/>
        <sz val="8"/>
        <rFont val="Arial"/>
        <family val="2"/>
        <charset val="238"/>
      </rPr>
      <t>3</t>
    </r>
    <r>
      <rPr>
        <i/>
        <sz val="8"/>
        <rFont val="Arial"/>
        <family val="2"/>
        <charset val="238"/>
      </rPr>
      <t xml:space="preserve"> Attributable to the shareholders of the parent entity.</t>
    </r>
  </si>
  <si>
    <t xml:space="preserve"> - Wynik na instrumentach finansowych wycenianych 
   przez rachunek zysków i strat oraz wynik z pozycji wymiany</t>
  </si>
  <si>
    <t xml:space="preserve"> - Wynik na inwestycjach</t>
  </si>
  <si>
    <t xml:space="preserve"> - Wynik na rachunkowości zabezpieczeń</t>
  </si>
  <si>
    <t xml:space="preserve"> - Wynik na pozostałej działalności podstawowej</t>
  </si>
  <si>
    <t xml:space="preserve"> - Koszty działania banku </t>
  </si>
  <si>
    <t xml:space="preserve">   - przypadający akcjonariuszom ING Banku Śląskiego S.A.</t>
  </si>
  <si>
    <t>wynik z tytułu odsetek</t>
  </si>
  <si>
    <t>wynik z tytułu prowizji</t>
  </si>
  <si>
    <t>pozostałe przychody/koszty</t>
  </si>
  <si>
    <t>udział w zyskach (stratach) netto jednostek stowarzyszonych wykazywanych metodą praw własności</t>
  </si>
  <si>
    <t>koszty osobowe</t>
  </si>
  <si>
    <t>amortyzacja</t>
  </si>
  <si>
    <t>pozostałe</t>
  </si>
  <si>
    <t>Wynik segmentu</t>
  </si>
  <si>
    <t>koszty ryzyka</t>
  </si>
  <si>
    <t>Wynik segmentu z uwzględnieniem kosztów ryzyka (wynik finansowy brutto)</t>
  </si>
  <si>
    <t>detal - w pełnych zł</t>
  </si>
  <si>
    <t>detal - po zaokrągleniu</t>
  </si>
  <si>
    <t>korpo - w pełnych zł</t>
  </si>
  <si>
    <t>korpo - po zaokrągleniu</t>
  </si>
  <si>
    <t>Razem korpo i detal - po zaokrągleniu</t>
  </si>
  <si>
    <t>Sprawdzenie z RZIS</t>
  </si>
  <si>
    <t>sprawdzenie z rzis</t>
  </si>
  <si>
    <t xml:space="preserve">     - Wynik na wycenie lokat desygnowanych do wyceny według wartości godziwej</t>
  </si>
  <si>
    <t>Pozostałe</t>
  </si>
  <si>
    <t>Other</t>
  </si>
  <si>
    <t xml:space="preserve">   - Zobowiązania wobec Banku Centralnego</t>
  </si>
  <si>
    <t>sprawdzenie sumy bilansowej</t>
  </si>
  <si>
    <t xml:space="preserve">     - pozycje zabezpieczane w rachunkowości zabezpieczeń wartości godziwej (euroobligacje)</t>
  </si>
  <si>
    <t>sprawdzenie z bilansem</t>
  </si>
  <si>
    <t xml:space="preserve"> - hedged items in fair value hedging ( T-eurobonds)</t>
  </si>
  <si>
    <t>brak danych</t>
  </si>
  <si>
    <t>Udział portfela zagrożonego utratą wartości bankowości korporacyjnej</t>
  </si>
  <si>
    <t>Współczynnik pokrycia portfela zagrożonego utratą wartości</t>
  </si>
  <si>
    <t>Udział portfela zagrożonego utratą wartości bankowości detalicznej</t>
  </si>
  <si>
    <t>Udział portfela zagrożonego utratą wartości</t>
  </si>
  <si>
    <t>sprawdzenie z notą kredytową - zaangażowanie</t>
  </si>
  <si>
    <t>sprawdzenie z notą kredytową - odpis</t>
  </si>
  <si>
    <t xml:space="preserve">     - lokaty</t>
  </si>
  <si>
    <t>Aktywa finansowe wyceniane do wartości godziwej 
przez rachunek zysków i strat</t>
  </si>
  <si>
    <t xml:space="preserve"> - term deposits</t>
  </si>
  <si>
    <t xml:space="preserve">     - w osobach</t>
  </si>
  <si>
    <t xml:space="preserve">     - w etatach</t>
  </si>
  <si>
    <t xml:space="preserve">     - karty debetowe</t>
  </si>
  <si>
    <t xml:space="preserve">     - karty kredytowe</t>
  </si>
  <si>
    <t xml:space="preserve">     - karty pozostałe</t>
  </si>
  <si>
    <t xml:space="preserve">   - w tym: uzupełnienie wymogu kapitałowego z tytułu ryzyka kredytowego 
     do wielkości wymogu obliczonego wg metody standardowej</t>
  </si>
  <si>
    <t>FUNDUSZE WŁASNE</t>
  </si>
  <si>
    <t>A. Kapitały własne ze sprawozdania z sytuacji finansowej, w tym:</t>
  </si>
  <si>
    <t xml:space="preserve">     A.I. Kapitały własne ujęte w funduszach podstawowych, w tym:</t>
  </si>
  <si>
    <t xml:space="preserve">            - kapitał zakładowy</t>
  </si>
  <si>
    <t xml:space="preserve">            - kapitał zapasowy - agio</t>
  </si>
  <si>
    <t xml:space="preserve">            - kapitał zapasowy - pozostały</t>
  </si>
  <si>
    <t xml:space="preserve">            - kapitał rezerwowy</t>
  </si>
  <si>
    <t xml:space="preserve">            - fundusz ogólnego ryzyka</t>
  </si>
  <si>
    <t xml:space="preserve">            - niepodzielony zysk z lat ubiegłych i wynik w trakcie zatwierdzania</t>
  </si>
  <si>
    <t xml:space="preserve">            - wynik finansowy bieżącego roku w części zaudytowanej</t>
  </si>
  <si>
    <t xml:space="preserve">            - udziały niekontrolujące</t>
  </si>
  <si>
    <t xml:space="preserve">            - kapitał z aktualizacji wyceny aktywów finansowych dostępnych do sprzedaży 
             (niezrealizowane straty)</t>
  </si>
  <si>
    <t xml:space="preserve">            - pozostały kapitał z aktualizacji wyceny</t>
  </si>
  <si>
    <t xml:space="preserve">     A.II. Kapitały własne ujęte w funduszach uzupełniających, w tym:</t>
  </si>
  <si>
    <t xml:space="preserve">            - kapitał z aktualizacji wyceny aktywów finansowych dostępnych do sprzedaży 
             (niezrealizowane zyski)</t>
  </si>
  <si>
    <t xml:space="preserve">     A.III. Kapitały własne nie ujęte w wyliczeniu funduszy własnych, w tym:</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</si>
  <si>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</si>
  <si>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</si>
  <si>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</si>
  <si>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wycena motywacyjnych programów pracowniczych</t>
  </si>
  <si>
    <t xml:space="preserve">            - wynik finansowy bieżącego roku w części niezaudytowanej</t>
  </si>
  <si>
    <t xml:space="preserve">            - zadeklarowana dywidenda dla akcjonariuszy</t>
  </si>
  <si>
    <t xml:space="preserve">            - wynik w trakcie zatwierdzania</t>
  </si>
  <si>
    <t>B. Pozostałe składniki (pomniejszenia i zwiększenia) funduszy własnych, w tym:</t>
  </si>
  <si>
    <t xml:space="preserve">     B.I. Pozostałe składniki funduszy podstawowych:</t>
  </si>
  <si>
    <t xml:space="preserve">            - wartości niematerialne</t>
  </si>
  <si>
    <t xml:space="preserve">            - zaangażowania kapitałowe banku w instytucje finansowe (50%)</t>
  </si>
  <si>
    <t xml:space="preserve">            - kwota oczekiwanych strat (50%) - tylko w metodzie AIRB</t>
  </si>
  <si>
    <t xml:space="preserve">     B.II. Pozostałe składniki funduszy uzupełniających:</t>
  </si>
  <si>
    <t xml:space="preserve">            - kapitał krótkoterminowy</t>
  </si>
  <si>
    <t>Fundusze własne przyjęte do kalkulacji współczynnika wypłacalności według metody zaawansowanej (AIRB)
(A.I. + A.II. + B.I. + B.II.), w tym:</t>
  </si>
  <si>
    <t xml:space="preserve">   - Fundusze własne podstawowe (A.I. + B.I.)</t>
  </si>
  <si>
    <t xml:space="preserve">   - Fundusze własne uzupełniające (A.II. + B.II.)</t>
  </si>
  <si>
    <t>Fundusze własne przyjęte do kalkulacji współczynnika wypłacalności według metody standardowej (SA)
(A.I. + A.II. + B.I. + B.II.), w tym:</t>
  </si>
  <si>
    <t>WYMOGI KAPITAŁOWE</t>
  </si>
  <si>
    <t xml:space="preserve">   - Wymogi kapitałowe dla ryzyka kredytowego, kredytowego kontrahenta, 
     rozmycia i dostawy instrumentów do rozliczenia w późniejszym terminie</t>
  </si>
  <si>
    <t xml:space="preserve">        - w tym: uzupełnienie wymogu kapitałowego z tytułu ryzyka kredytowego 
          do wielkości wymogu obliczonego wg metody standardowej</t>
  </si>
  <si>
    <t xml:space="preserve">   - Wymóg kapitałowy z tytułu ryzyka rozliczenia - dostawy</t>
  </si>
  <si>
    <t xml:space="preserve">   - Wymogi kapitałowe dla ryzyka cen kapitałowych papierów wartościowych, 
     ryzyka cen instrumentów dłużnych, walutowego i cen towarów</t>
  </si>
  <si>
    <t xml:space="preserve">   - Wymóg kapitałowy z tytułu ryzyka operacyjnego</t>
  </si>
  <si>
    <t xml:space="preserve">   - Wymóg kapitałowy z tytułu ryzyka ogólnego stóp procentowych</t>
  </si>
  <si>
    <t xml:space="preserve">   - Wymóg kapitałowy z tytułu przekroczenia limitu koncentracji zaangażowań </t>
  </si>
  <si>
    <t>Całkowity wymóg kapitałowy obliczony z zastosowaniem metody zaawansowanej (AIRB) do kalkulacji wymogu na ryzyko kredytowe</t>
  </si>
  <si>
    <t>Całkowity wymóg kapitałowy obliczony z zastosowaniem metody standardowej (SA) do kalkulacji wymogu na ryzyko kredytowe</t>
  </si>
  <si>
    <t>Współczynnik wypłacalności - nadzorczy</t>
  </si>
  <si>
    <r>
      <t xml:space="preserve">Współczynnik wypłacalności - </t>
    </r>
    <r>
      <rPr>
        <sz val="9"/>
        <color theme="0"/>
        <rFont val="Arial"/>
        <family val="2"/>
        <charset val="238"/>
      </rPr>
      <t>metoda zaawansowana (AIRB)</t>
    </r>
  </si>
  <si>
    <r>
      <t xml:space="preserve">Współczynnik wypłacalności - </t>
    </r>
    <r>
      <rPr>
        <sz val="9"/>
        <color theme="0"/>
        <rFont val="Arial"/>
        <family val="2"/>
        <charset val="238"/>
      </rPr>
      <t>metoda standardowa (SA)</t>
    </r>
  </si>
  <si>
    <t>Współczynnik TIER 1 - nadzorczy</t>
  </si>
  <si>
    <r>
      <t xml:space="preserve">Współczynnik TIER 1 </t>
    </r>
    <r>
      <rPr>
        <i/>
        <sz val="9"/>
        <color theme="0"/>
        <rFont val="Arial"/>
        <family val="2"/>
        <charset val="238"/>
      </rPr>
      <t>- metoda zaawansowana (AIRB)</t>
    </r>
  </si>
  <si>
    <r>
      <t xml:space="preserve">Współczynnik TIER 1 </t>
    </r>
    <r>
      <rPr>
        <i/>
        <sz val="9"/>
        <color theme="0"/>
        <rFont val="Arial"/>
        <family val="2"/>
        <charset val="238"/>
      </rPr>
      <t>- metoda standardowa (SA)</t>
    </r>
  </si>
  <si>
    <t>Dane bilansowe:</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</si>
  <si>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</si>
  <si>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</si>
  <si>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</si>
  <si>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</si>
  <si>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</si>
  <si>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</si>
  <si>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</si>
  <si>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</si>
  <si>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</si>
  <si>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</si>
  <si>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</si>
  <si>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A.II. Own equity included in tier 2 capital, of which:</t>
  </si>
  <si>
    <t xml:space="preserve">     A.III. Own equity excluded from own funds calculation,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</si>
  <si>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</si>
  <si>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</si>
  <si>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</si>
  <si>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</si>
  <si>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</si>
  <si>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 xml:space="preserve">            - declared dividend to shareholders</t>
  </si>
  <si>
    <t>B. Other elements of own funds (decreases and increases), of which:</t>
  </si>
  <si>
    <t xml:space="preserve">     B.I. Other elements of tier 1 capital:</t>
  </si>
  <si>
    <t xml:space="preserve">            - capital commitments in financial institutions (50%)</t>
  </si>
  <si>
    <t xml:space="preserve">            - amount of expected losses (50%) - only in AIRB method</t>
  </si>
  <si>
    <t xml:space="preserve">     B.II. Other elements of tier 2 capital:</t>
  </si>
  <si>
    <t xml:space="preserve">            - short-term capital</t>
  </si>
  <si>
    <t xml:space="preserve">   - Tier 1 capital (A.I. + B.I.)</t>
  </si>
  <si>
    <t xml:space="preserve">   - Tier 2 capital (A.II. + B.II.)</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</si>
  <si>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</si>
  <si>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</si>
  <si>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</si>
  <si>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</si>
  <si>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</si>
  <si>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</si>
  <si>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</si>
  <si>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</si>
  <si>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</si>
  <si>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r>
      <t xml:space="preserve">Loans and receivables to customers (net) </t>
    </r>
    <r>
      <rPr>
        <vertAlign val="superscript"/>
        <sz val="9"/>
        <rFont val="Arial"/>
        <family val="2"/>
        <charset val="238"/>
      </rPr>
      <t>4</t>
    </r>
    <r>
      <rPr>
        <sz val="9"/>
        <rFont val="Arial"/>
        <family val="2"/>
        <charset val="238"/>
      </rPr>
      <t xml:space="preserve">, </t>
    </r>
    <r>
      <rPr>
        <sz val="8"/>
        <rFont val="Arial"/>
        <family val="2"/>
        <charset val="238"/>
      </rPr>
      <t>of which:</t>
    </r>
  </si>
  <si>
    <t>Own funds taken into account in solvency ratio calculation according to advanced method (AIRB)
(A.I. + A.II. + B.I. + B.II.), of which:</t>
  </si>
  <si>
    <t>Own funds taken into account in solvency ratio calculation according to standard method (SA)
(A.I. + A.II. + B.I. + B.II.), of which:</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</si>
  <si>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</si>
  <si>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</si>
  <si>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</si>
  <si>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Solvency ratio - supervisory</t>
  </si>
  <si>
    <t>Solvency ratio (SA)</t>
  </si>
  <si>
    <t>Solvency ratio (AIRB)</t>
  </si>
  <si>
    <t>TIER 1 ratio - supervisory</t>
  </si>
  <si>
    <t>TIER 1  ratio (SA)</t>
  </si>
  <si>
    <t>TIER 1  ratio (AIRB)</t>
  </si>
  <si>
    <t xml:space="preserve">   - regulatory</t>
  </si>
  <si>
    <t>Solvency ratio (consolidated) as %</t>
  </si>
  <si>
    <t>Solvency ratio (standalone) as %</t>
  </si>
  <si>
    <t xml:space="preserve">   - calculated under standard approach (SA)</t>
  </si>
  <si>
    <t xml:space="preserve">   - calculated with Advanced Internal Rating-Based method (AIRB)</t>
  </si>
  <si>
    <r>
      <t>7</t>
    </r>
    <r>
      <rPr>
        <i/>
        <sz val="8"/>
        <color indexed="8"/>
        <rFont val="Arial"/>
        <family val="2"/>
        <charset val="238"/>
      </rPr>
      <t xml:space="preserve"> After making figures comparable (1:10 split in Q4 2011)</t>
    </r>
  </si>
  <si>
    <r>
      <t>7</t>
    </r>
    <r>
      <rPr>
        <i/>
        <sz val="8"/>
        <color indexed="8"/>
        <rFont val="Arial"/>
        <family val="2"/>
        <charset val="238"/>
      </rPr>
      <t xml:space="preserve"> Po doprowadzeniu do porównywalności (podział w stosunku 1:10 w IV kwartale 2011 roku)</t>
    </r>
  </si>
  <si>
    <r>
      <t xml:space="preserve">Number of shares </t>
    </r>
    <r>
      <rPr>
        <vertAlign val="superscript"/>
        <sz val="9"/>
        <rFont val="Arial"/>
        <family val="2"/>
        <charset val="238"/>
      </rPr>
      <t>7</t>
    </r>
    <r>
      <rPr>
        <sz val="11"/>
        <color theme="1"/>
        <rFont val="Calibri"/>
        <family val="2"/>
        <charset val="238"/>
        <scheme val="minor"/>
      </rPr>
      <t/>
    </r>
  </si>
  <si>
    <r>
      <t xml:space="preserve">Liczba akcji </t>
    </r>
    <r>
      <rPr>
        <vertAlign val="superscript"/>
        <sz val="8"/>
        <rFont val="Arial"/>
        <family val="2"/>
        <charset val="238"/>
      </rPr>
      <t>7</t>
    </r>
    <r>
      <rPr>
        <sz val="11"/>
        <color theme="1"/>
        <rFont val="Calibri"/>
        <family val="2"/>
        <charset val="238"/>
        <scheme val="minor"/>
      </rPr>
      <t/>
    </r>
  </si>
  <si>
    <t xml:space="preserve">            - other revaluation reserve</t>
  </si>
  <si>
    <t xml:space="preserve">            - profit under authorization</t>
  </si>
  <si>
    <t>Cost /Income ratio (C/I) as % - cumulatively</t>
  </si>
  <si>
    <t>CONSOLIDATED INCOME STATEMENT
Corporate customers segment</t>
  </si>
  <si>
    <t>Net fees &amp; commission income</t>
  </si>
  <si>
    <t>Fees and commission income</t>
  </si>
  <si>
    <t>Total fees and comission income</t>
  </si>
  <si>
    <t>Fees adn commission expenses</t>
  </si>
  <si>
    <t>1Q - N/A</t>
  </si>
  <si>
    <t xml:space="preserve">1Q </t>
  </si>
  <si>
    <t>2007 - N/A</t>
  </si>
  <si>
    <t xml:space="preserve">Uwagi: </t>
  </si>
  <si>
    <t xml:space="preserve">Notes: </t>
  </si>
  <si>
    <r>
      <t xml:space="preserve">Współczynnik wypłacalności </t>
    </r>
    <r>
      <rPr>
        <b/>
        <sz val="10"/>
        <color indexed="9"/>
        <rFont val="Arial"/>
        <family val="2"/>
        <charset val="238"/>
      </rPr>
      <t>- nota rozszerzona (od 2012 r)</t>
    </r>
  </si>
  <si>
    <r>
      <t xml:space="preserve">Solvency ratio </t>
    </r>
    <r>
      <rPr>
        <b/>
        <sz val="10"/>
        <color indexed="9"/>
        <rFont val="Arial"/>
        <family val="2"/>
        <charset val="238"/>
      </rPr>
      <t xml:space="preserve">-  detailed note (since 2012 reporting) </t>
    </r>
  </si>
  <si>
    <t>OWN FUNDS</t>
  </si>
  <si>
    <t>Aktywa finansowe desygnowane do wyceny do wartości godziwej przy początkowym ujęciu, w tym:</t>
  </si>
  <si>
    <t>Financial assets designated as at fair value upon initial recognition, of which: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</si>
</sst>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61" x14ac:knownFonts="1">
    <font>
      <sz val="10"/>
      <name val="Arial CE"/>
      <charset val="238"/>
    </font>
    <font>
      <sz val="11"/>
      <color theme="1"/>
      <name val="Calibri"/>
      <family val="2"/>
      <charset val="238"/>
      <scheme val="minor"/>
    </font>
    <font>
      <sz val="11"/>
      <color theme="1"/>
      <name val="Calibri"/>
      <family val="2"/>
      <charset val="238"/>
      <scheme val="minor"/>
    </font>
    <font>
      <sz val="10"/>
      <name val="Arial CE"/>
      <charset val="238"/>
    </font>
    <font>
      <sz val="10"/>
      <name val="Arial"/>
      <family val="2"/>
      <charset val="238"/>
    </font>
    <font>
      <sz val="9"/>
      <name val="Arial"/>
      <family val="2"/>
      <charset val="238"/>
    </font>
    <font>
      <i/>
      <sz val="10"/>
      <name val="Arial"/>
      <family val="2"/>
      <charset val="238"/>
    </font>
    <font>
      <sz val="10"/>
      <name val="Courier"/>
      <family val="3"/>
    </font>
    <font>
      <b/>
      <sz val="9"/>
      <name val="Arial"/>
      <family val="2"/>
      <charset val="238"/>
    </font>
    <font>
      <b/>
      <sz val="10"/>
      <name val="Arial"/>
      <family val="2"/>
      <charset val="238"/>
    </font>
    <font>
      <sz val="8"/>
      <name val="Arial"/>
      <family val="2"/>
      <charset val="238"/>
    </font>
    <font>
      <b/>
      <sz val="12"/>
      <color indexed="9"/>
      <name val="Arial"/>
      <family val="2"/>
      <charset val="238"/>
    </font>
    <font>
      <vertAlign val="superscript"/>
      <sz val="9"/>
      <name val="Arial"/>
      <family val="2"/>
      <charset val="238"/>
    </font>
    <font>
      <sz val="10"/>
      <color indexed="53"/>
      <name val="Arial"/>
      <family val="2"/>
      <charset val="238"/>
    </font>
    <font>
      <i/>
      <vertAlign val="superscript"/>
      <sz val="8"/>
      <color indexed="8"/>
      <name val="Arial"/>
      <family val="2"/>
      <charset val="238"/>
    </font>
    <font>
      <i/>
      <sz val="8"/>
      <color indexed="8"/>
      <name val="Arial"/>
      <family val="2"/>
      <charset val="238"/>
    </font>
    <font>
      <sz val="11"/>
      <color theme="1"/>
      <name val="Calibri"/>
      <family val="2"/>
      <scheme val="minor"/>
    </font>
    <font>
      <sz val="11"/>
      <color theme="1"/>
      <name val="Calibri"/>
      <family val="2"/>
      <charset val="238"/>
      <scheme val="minor"/>
    </font>
    <font>
      <i/>
      <sz val="9"/>
      <name val="Arial"/>
      <family val="2"/>
      <charset val="238"/>
    </font>
    <font>
      <sz val="8"/>
      <color theme="1"/>
      <name val="Arial"/>
      <family val="2"/>
      <charset val="238"/>
    </font>
    <font>
      <vertAlign val="superscript"/>
      <sz val="8"/>
      <name val="Arial"/>
      <family val="2"/>
      <charset val="238"/>
    </font>
    <font>
      <sz val="9"/>
      <color rgb="FFFF6600"/>
      <name val="Arial"/>
      <family val="2"/>
      <charset val="238"/>
    </font>
    <font>
      <b/>
      <sz val="8"/>
      <color indexed="9"/>
      <name val="Arial"/>
      <family val="2"/>
      <charset val="238"/>
    </font>
    <font>
      <b/>
      <sz val="8"/>
      <name val="Arial"/>
      <family val="2"/>
      <charset val="238"/>
    </font>
    <font>
      <i/>
      <sz val="8"/>
      <name val="Arial"/>
      <family val="2"/>
      <charset val="238"/>
    </font>
    <font>
      <b/>
      <i/>
      <sz val="10"/>
      <name val="Arial"/>
      <family val="2"/>
      <charset val="238"/>
    </font>
    <font>
      <i/>
      <sz val="8"/>
      <color theme="1"/>
      <name val="Arial"/>
      <family val="2"/>
      <charset val="238"/>
    </font>
    <font>
      <i/>
      <vertAlign val="superscript"/>
      <sz val="8"/>
      <name val="Arial"/>
      <family val="2"/>
      <charset val="238"/>
    </font>
    <font>
      <b/>
      <sz val="8"/>
      <color theme="0"/>
      <name val="Arial"/>
      <family val="2"/>
      <charset val="238"/>
    </font>
    <font>
      <u/>
      <sz val="10"/>
      <name val="Arial"/>
      <family val="2"/>
      <charset val="238"/>
    </font>
    <font>
      <b/>
      <i/>
      <sz val="10"/>
      <color rgb="FF0000FF"/>
      <name val="Arial"/>
      <family val="2"/>
      <charset val="238"/>
    </font>
    <font>
      <i/>
      <sz val="10"/>
      <color rgb="FF0000FF"/>
      <name val="Arial"/>
      <family val="2"/>
      <charset val="238"/>
    </font>
    <font>
      <i/>
      <sz val="8"/>
      <color rgb="FF0000FF"/>
      <name val="Arial"/>
      <family val="2"/>
      <charset val="238"/>
    </font>
    <font>
      <b/>
      <sz val="8"/>
      <color theme="0" tint="-0.499984740745262"/>
      <name val="Arial"/>
      <family val="2"/>
      <charset val="238"/>
    </font>
    <font>
      <sz val="8"/>
      <color theme="0" tint="-0.499984740745262"/>
      <name val="Arial"/>
      <family val="2"/>
      <charset val="238"/>
    </font>
    <font>
      <i/>
      <sz val="8"/>
      <name val="Arial CE"/>
      <charset val="238"/>
    </font>
    <font>
      <i/>
      <sz val="10"/>
      <name val="Arial CE"/>
      <charset val="238"/>
    </font>
    <font>
      <b/>
      <sz val="9"/>
      <color theme="0"/>
      <name val="Arial"/>
      <family val="2"/>
      <charset val="238"/>
    </font>
    <font>
      <b/>
      <i/>
      <sz val="8"/>
      <name val="Arial CE"/>
      <charset val="238"/>
    </font>
    <font>
      <b/>
      <sz val="10"/>
      <name val="Arial CE"/>
      <charset val="238"/>
    </font>
    <font>
      <b/>
      <i/>
      <sz val="9"/>
      <color theme="1"/>
      <name val="Arial"/>
      <family val="2"/>
      <charset val="238"/>
    </font>
    <font>
      <b/>
      <sz val="9"/>
      <color theme="1"/>
      <name val="Arial"/>
      <family val="2"/>
      <charset val="238"/>
    </font>
    <font>
      <b/>
      <sz val="8"/>
      <color theme="1"/>
      <name val="Arial"/>
      <family val="2"/>
      <charset val="238"/>
    </font>
    <font>
      <i/>
      <sz val="8"/>
      <color theme="0" tint="-0.499984740745262"/>
      <name val="Arial"/>
      <family val="2"/>
      <charset val="238"/>
    </font>
    <font>
      <i/>
      <sz val="8"/>
      <color theme="0" tint="-0.499984740745262"/>
      <name val="Arial CE"/>
      <charset val="238"/>
    </font>
    <font>
      <sz val="10"/>
      <color theme="0" tint="-0.499984740745262"/>
      <name val="Arial CE"/>
      <charset val="238"/>
    </font>
    <font>
      <b/>
      <i/>
      <sz val="8"/>
      <color theme="1"/>
      <name val="Arial"/>
      <family val="2"/>
      <charset val="238"/>
    </font>
    <font>
      <b/>
      <sz val="10"/>
      <color theme="1"/>
      <name val="Arial"/>
      <family val="2"/>
      <charset val="238"/>
    </font>
    <font>
      <sz val="9"/>
      <color theme="0"/>
      <name val="Arial"/>
      <family val="2"/>
      <charset val="238"/>
    </font>
    <font>
      <b/>
      <i/>
      <sz val="9"/>
      <color theme="0"/>
      <name val="Arial"/>
      <family val="2"/>
      <charset val="238"/>
    </font>
    <font>
      <b/>
      <i/>
      <sz val="9"/>
      <name val="Arial CE"/>
      <charset val="238"/>
    </font>
    <font>
      <i/>
      <sz val="9"/>
      <color theme="0"/>
      <name val="Arial"/>
      <family val="2"/>
      <charset val="238"/>
    </font>
    <font>
      <b/>
      <sz val="8"/>
      <color indexed="81"/>
      <name val="Tahoma"/>
      <family val="2"/>
      <charset val="238"/>
    </font>
    <font>
      <sz val="8"/>
      <color indexed="81"/>
      <name val="Tahoma"/>
      <family val="2"/>
      <charset val="238"/>
    </font>
    <font>
      <b/>
      <sz val="10"/>
      <color indexed="9"/>
      <name val="Arial"/>
      <family val="2"/>
      <charset val="238"/>
    </font>
    <font>
      <i/>
      <sz val="9"/>
      <name val="Arial CE"/>
      <charset val="238"/>
    </font>
    <font>
      <sz val="9"/>
      <name val="Arial CE"/>
      <charset val="238"/>
    </font>
    <font>
      <b/>
      <i/>
      <sz val="11"/>
      <color rgb="FFFF6600"/>
      <name val="Arial"/>
      <family val="2"/>
      <charset val="238"/>
    </font>
    <font>
      <sz val="11"/>
      <color rgb="FFFF6600"/>
      <name val="Arial CE"/>
      <charset val="238"/>
    </font>
    <font>
      <i/>
      <sz val="11"/>
      <color rgb="FFFF6600"/>
      <name val="Arial CE"/>
      <charset val="238"/>
    </font>
    <font>
      <sz val="11"/>
      <color rgb="FFFF6600"/>
      <name val="Arial"/>
      <family val="2"/>
      <charset val="238"/>
    </font>
  </fonts>
  <fills count="6">
    <fill>
      <patternFill patternType="none"/>
    </fill>
    <fill>
      <patternFill patternType="gray125"/>
    </fill>
    <fill>
      <patternFill patternType="solid">
        <fgColor indexed="53"/>
        <bgColor indexed="64"/>
      </patternFill>
    </fill>
    <fill>
      <patternFill patternType="solid">
        <fgColor rgb="FFFF6600"/>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medium">
        <color rgb="FFFF6600"/>
      </top>
      <bottom style="medium">
        <color rgb="FFFF6600"/>
      </bottom>
      <diagonal/>
    </border>
    <border>
      <left style="hair">
        <color indexed="64"/>
      </left>
      <right/>
      <top style="medium">
        <color rgb="FFFF6600"/>
      </top>
      <bottom style="medium">
        <color rgb="FFFF6600"/>
      </bottom>
      <diagonal/>
    </border>
    <border>
      <left/>
      <right style="hair">
        <color indexed="64"/>
      </right>
      <top style="medium">
        <color rgb="FFFF6600"/>
      </top>
      <bottom style="medium">
        <color rgb="FFFF6600"/>
      </bottom>
      <diagonal/>
    </border>
  </borders>
  <cellStyleXfs count="13">
    <xf numFmtId="0" fontId="0" fillId="0" borderId="0"/>
    <xf numFmtId="0" fontId="7" fillId="0" borderId="0">
      <alignment vertical="center"/>
    </xf>
    <xf numFmtId="0" fontId="4" fillId="0" borderId="0">
      <alignment vertical="center"/>
    </xf>
    <xf numFmtId="0" fontId="4" fillId="0" borderId="0">
      <alignment vertical="center"/>
    </xf>
    <xf numFmtId="0" fontId="3" fillId="0" borderId="0"/>
    <xf numFmtId="0" fontId="4" fillId="0" borderId="0"/>
    <xf numFmtId="0" fontId="16" fillId="0" borderId="0"/>
    <xf numFmtId="0" fontId="17" fillId="0" borderId="0"/>
    <xf numFmtId="9" fontId="3"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cellStyleXfs>
  <cellXfs count="389">
    <xf numFmtId="0" fontId="0" fillId="0" borderId="0" xfId="0"/>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5" fillId="0" borderId="1" xfId="0" applyFont="1" applyFill="1" applyBorder="1" applyAlignment="1">
      <alignment horizontal="left" vertical="center" wrapText="1"/>
    </xf>
    <xf numFmtId="3" fontId="4"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0" xfId="0" applyFont="1" applyFill="1" applyBorder="1" applyAlignment="1">
      <alignment vertical="center"/>
    </xf>
    <xf numFmtId="0" fontId="8" fillId="0" borderId="1" xfId="0" applyFont="1" applyFill="1" applyBorder="1" applyAlignment="1">
      <alignment vertical="center" wrapText="1"/>
    </xf>
    <xf numFmtId="0" fontId="9" fillId="0" borderId="0" xfId="0" applyFont="1" applyFill="1" applyBorder="1" applyAlignment="1">
      <alignment vertical="center"/>
    </xf>
    <xf numFmtId="0" fontId="8" fillId="0" borderId="1" xfId="0" applyFont="1" applyFill="1" applyBorder="1" applyAlignment="1">
      <alignment horizontal="left" vertical="center" wrapText="1"/>
    </xf>
    <xf numFmtId="3" fontId="8" fillId="0" borderId="1" xfId="0" applyNumberFormat="1" applyFont="1" applyFill="1" applyBorder="1" applyAlignment="1">
      <alignment vertical="center" wrapText="1"/>
    </xf>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wrapText="1"/>
    </xf>
    <xf numFmtId="0" fontId="13" fillId="0" borderId="0" xfId="0" applyFont="1" applyBorder="1" applyAlignment="1">
      <alignment vertical="center"/>
    </xf>
    <xf numFmtId="3" fontId="4" fillId="0" borderId="5" xfId="0" applyNumberFormat="1" applyFont="1" applyFill="1" applyBorder="1" applyAlignment="1">
      <alignment vertical="center"/>
    </xf>
    <xf numFmtId="3" fontId="6" fillId="0" borderId="6" xfId="0" applyNumberFormat="1" applyFont="1" applyFill="1" applyBorder="1" applyAlignment="1">
      <alignment vertical="center"/>
    </xf>
    <xf numFmtId="3" fontId="4" fillId="0" borderId="6" xfId="0" applyNumberFormat="1" applyFont="1" applyFill="1" applyBorder="1" applyAlignment="1">
      <alignment vertical="center"/>
    </xf>
    <xf numFmtId="3" fontId="5" fillId="0" borderId="1" xfId="0" applyNumberFormat="1" applyFont="1" applyFill="1" applyBorder="1" applyAlignment="1">
      <alignment vertical="center"/>
    </xf>
    <xf numFmtId="3" fontId="10" fillId="0" borderId="1" xfId="0" applyNumberFormat="1" applyFont="1" applyFill="1" applyBorder="1" applyAlignment="1">
      <alignment horizontal="right" vertical="center"/>
    </xf>
    <xf numFmtId="3" fontId="5" fillId="0" borderId="5" xfId="0" applyNumberFormat="1" applyFont="1" applyFill="1" applyBorder="1" applyAlignment="1">
      <alignment vertical="center"/>
    </xf>
    <xf numFmtId="3" fontId="5" fillId="0" borderId="6"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0" xfId="0" applyNumberFormat="1" applyFont="1" applyFill="1" applyBorder="1" applyAlignment="1">
      <alignment vertical="center"/>
    </xf>
    <xf numFmtId="0" fontId="10" fillId="0" borderId="0" xfId="0" applyFont="1" applyBorder="1" applyAlignment="1">
      <alignment vertical="center"/>
    </xf>
    <xf numFmtId="3" fontId="10" fillId="0" borderId="5" xfId="0" applyNumberFormat="1" applyFont="1" applyFill="1" applyBorder="1" applyAlignment="1">
      <alignment vertical="center"/>
    </xf>
    <xf numFmtId="3" fontId="10" fillId="0" borderId="1" xfId="0" applyNumberFormat="1" applyFont="1" applyFill="1" applyBorder="1" applyAlignment="1">
      <alignment vertical="center"/>
    </xf>
    <xf numFmtId="3" fontId="10" fillId="0" borderId="6" xfId="0" applyNumberFormat="1" applyFont="1" applyFill="1" applyBorder="1" applyAlignment="1">
      <alignment vertical="center"/>
    </xf>
    <xf numFmtId="0" fontId="10" fillId="0" borderId="0" xfId="0" applyFont="1" applyFill="1" applyBorder="1" applyAlignment="1">
      <alignment vertical="center"/>
    </xf>
    <xf numFmtId="0" fontId="5" fillId="0" borderId="2" xfId="0" applyFont="1" applyFill="1" applyBorder="1" applyAlignment="1">
      <alignment horizontal="left" vertical="center" wrapText="1"/>
    </xf>
    <xf numFmtId="3" fontId="21" fillId="0" borderId="5" xfId="0" applyNumberFormat="1" applyFont="1" applyFill="1" applyBorder="1" applyAlignment="1">
      <alignment vertical="center"/>
    </xf>
    <xf numFmtId="3" fontId="21" fillId="0" borderId="1" xfId="0" applyNumberFormat="1" applyFont="1" applyFill="1" applyBorder="1" applyAlignment="1">
      <alignment vertical="center"/>
    </xf>
    <xf numFmtId="3" fontId="21" fillId="0" borderId="6" xfId="0" applyNumberFormat="1" applyFont="1" applyFill="1" applyBorder="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3" fontId="22" fillId="2" borderId="4"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3" fontId="22" fillId="2" borderId="12" xfId="0" applyNumberFormat="1" applyFont="1" applyFill="1" applyBorder="1" applyAlignment="1">
      <alignment horizontal="right" vertical="center" wrapText="1"/>
    </xf>
    <xf numFmtId="0" fontId="2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64" fontId="10" fillId="0" borderId="5" xfId="0" applyNumberFormat="1" applyFont="1" applyFill="1" applyBorder="1" applyAlignment="1">
      <alignment vertical="center"/>
    </xf>
    <xf numFmtId="164" fontId="10" fillId="0" borderId="1" xfId="0" applyNumberFormat="1" applyFont="1" applyFill="1" applyBorder="1" applyAlignment="1">
      <alignment vertical="center"/>
    </xf>
    <xf numFmtId="164" fontId="10" fillId="0" borderId="6" xfId="0" applyNumberFormat="1" applyFont="1" applyFill="1" applyBorder="1" applyAlignment="1">
      <alignment vertical="center"/>
    </xf>
    <xf numFmtId="0" fontId="10" fillId="0" borderId="2" xfId="0" applyFont="1" applyFill="1" applyBorder="1" applyAlignment="1">
      <alignment horizontal="left" vertical="center" wrapText="1"/>
    </xf>
    <xf numFmtId="164" fontId="10" fillId="0" borderId="10" xfId="0" applyNumberFormat="1" applyFont="1" applyFill="1" applyBorder="1" applyAlignment="1">
      <alignment vertical="center"/>
    </xf>
    <xf numFmtId="164" fontId="10" fillId="0" borderId="2" xfId="0" applyNumberFormat="1" applyFont="1" applyFill="1" applyBorder="1" applyAlignment="1">
      <alignment vertical="center"/>
    </xf>
    <xf numFmtId="164" fontId="10" fillId="0" borderId="11" xfId="0" applyNumberFormat="1" applyFont="1" applyFill="1" applyBorder="1" applyAlignment="1">
      <alignment vertical="center"/>
    </xf>
    <xf numFmtId="164" fontId="23" fillId="0" borderId="5" xfId="0" applyNumberFormat="1" applyFont="1" applyFill="1" applyBorder="1" applyAlignment="1">
      <alignment vertical="center"/>
    </xf>
    <xf numFmtId="164" fontId="23" fillId="0" borderId="1" xfId="0" applyNumberFormat="1" applyFont="1" applyFill="1" applyBorder="1" applyAlignment="1">
      <alignment vertical="center"/>
    </xf>
    <xf numFmtId="164" fontId="23" fillId="0" borderId="6" xfId="0" applyNumberFormat="1" applyFont="1" applyFill="1" applyBorder="1" applyAlignment="1">
      <alignment vertical="center"/>
    </xf>
    <xf numFmtId="3" fontId="23" fillId="0" borderId="5" xfId="0" applyNumberFormat="1" applyFont="1" applyFill="1" applyBorder="1" applyAlignment="1">
      <alignment vertical="center"/>
    </xf>
    <xf numFmtId="3" fontId="23" fillId="0" borderId="1" xfId="0" applyNumberFormat="1" applyFont="1" applyFill="1" applyBorder="1" applyAlignment="1">
      <alignment vertical="center"/>
    </xf>
    <xf numFmtId="3" fontId="23" fillId="0" borderId="6" xfId="0" applyNumberFormat="1" applyFont="1" applyFill="1" applyBorder="1" applyAlignment="1">
      <alignment vertical="center"/>
    </xf>
    <xf numFmtId="0" fontId="10" fillId="0" borderId="3" xfId="0" applyFont="1" applyFill="1" applyBorder="1" applyAlignment="1">
      <alignment horizontal="left" vertical="center" wrapText="1"/>
    </xf>
    <xf numFmtId="164" fontId="10" fillId="0" borderId="7" xfId="0" applyNumberFormat="1" applyFont="1" applyFill="1" applyBorder="1" applyAlignment="1">
      <alignment vertical="center"/>
    </xf>
    <xf numFmtId="164" fontId="10" fillId="0" borderId="3" xfId="0" applyNumberFormat="1" applyFont="1" applyFill="1" applyBorder="1" applyAlignment="1">
      <alignment vertical="center"/>
    </xf>
    <xf numFmtId="164" fontId="10" fillId="0" borderId="8" xfId="0" applyNumberFormat="1" applyFont="1" applyFill="1" applyBorder="1" applyAlignment="1">
      <alignment vertical="center"/>
    </xf>
    <xf numFmtId="0" fontId="24" fillId="0" borderId="1" xfId="0" applyFont="1" applyFill="1" applyBorder="1" applyAlignment="1">
      <alignment horizontal="left" vertical="center" wrapText="1"/>
    </xf>
    <xf numFmtId="164" fontId="24" fillId="0" borderId="5" xfId="0" applyNumberFormat="1" applyFont="1" applyFill="1" applyBorder="1" applyAlignment="1">
      <alignment vertical="center"/>
    </xf>
    <xf numFmtId="164" fontId="24" fillId="0" borderId="1" xfId="0" applyNumberFormat="1" applyFont="1" applyFill="1" applyBorder="1" applyAlignment="1">
      <alignment vertical="center"/>
    </xf>
    <xf numFmtId="164" fontId="24" fillId="0" borderId="6" xfId="0" applyNumberFormat="1" applyFont="1" applyFill="1" applyBorder="1" applyAlignment="1">
      <alignment vertical="center"/>
    </xf>
    <xf numFmtId="10" fontId="10" fillId="0" borderId="5" xfId="8" applyNumberFormat="1" applyFont="1" applyFill="1" applyBorder="1" applyAlignment="1">
      <alignment vertical="center"/>
    </xf>
    <xf numFmtId="10" fontId="10" fillId="0" borderId="1" xfId="8" applyNumberFormat="1" applyFont="1" applyFill="1" applyBorder="1" applyAlignment="1">
      <alignment vertical="center"/>
    </xf>
    <xf numFmtId="10" fontId="10" fillId="0" borderId="6" xfId="8" applyNumberFormat="1" applyFont="1" applyFill="1" applyBorder="1" applyAlignment="1">
      <alignment vertical="center"/>
    </xf>
    <xf numFmtId="10" fontId="10" fillId="0" borderId="5" xfId="8" applyNumberFormat="1" applyFont="1" applyFill="1" applyBorder="1" applyAlignment="1">
      <alignment horizontal="right" vertical="center"/>
    </xf>
    <xf numFmtId="10" fontId="10" fillId="0" borderId="1" xfId="8" applyNumberFormat="1" applyFont="1" applyFill="1" applyBorder="1" applyAlignment="1">
      <alignment horizontal="right" vertical="center"/>
    </xf>
    <xf numFmtId="10" fontId="10" fillId="0" borderId="6" xfId="8" applyNumberFormat="1" applyFont="1" applyFill="1" applyBorder="1" applyAlignment="1">
      <alignment horizontal="right" vertical="center"/>
    </xf>
    <xf numFmtId="10" fontId="24" fillId="0" borderId="5" xfId="8" applyNumberFormat="1" applyFont="1" applyFill="1" applyBorder="1" applyAlignment="1">
      <alignment horizontal="right" vertical="center"/>
    </xf>
    <xf numFmtId="10" fontId="24" fillId="0" borderId="1" xfId="8" applyNumberFormat="1" applyFont="1" applyFill="1" applyBorder="1" applyAlignment="1">
      <alignment horizontal="right" vertical="center"/>
    </xf>
    <xf numFmtId="10" fontId="24" fillId="0" borderId="6" xfId="8" applyNumberFormat="1" applyFont="1" applyFill="1" applyBorder="1" applyAlignment="1">
      <alignment horizontal="right" vertical="center"/>
    </xf>
    <xf numFmtId="10" fontId="24" fillId="0" borderId="1" xfId="8" applyNumberFormat="1" applyFont="1" applyFill="1" applyBorder="1" applyAlignment="1">
      <alignment vertical="center"/>
    </xf>
    <xf numFmtId="0" fontId="25" fillId="0" borderId="0" xfId="0" applyFont="1" applyFill="1" applyBorder="1" applyAlignment="1">
      <alignment vertical="center"/>
    </xf>
    <xf numFmtId="10" fontId="24" fillId="0" borderId="6" xfId="8" applyNumberFormat="1" applyFont="1" applyFill="1" applyBorder="1" applyAlignment="1">
      <alignment vertical="center"/>
    </xf>
    <xf numFmtId="10" fontId="24" fillId="0" borderId="5" xfId="8" applyNumberFormat="1" applyFont="1" applyFill="1" applyBorder="1" applyAlignment="1">
      <alignment vertical="center"/>
    </xf>
    <xf numFmtId="164" fontId="10" fillId="4" borderId="5" xfId="0" applyNumberFormat="1" applyFont="1" applyFill="1" applyBorder="1" applyAlignment="1">
      <alignment vertical="center"/>
    </xf>
    <xf numFmtId="164" fontId="10" fillId="4" borderId="1" xfId="0" applyNumberFormat="1" applyFont="1" applyFill="1" applyBorder="1" applyAlignment="1">
      <alignment vertical="center"/>
    </xf>
    <xf numFmtId="164" fontId="10" fillId="4" borderId="6" xfId="0" applyNumberFormat="1" applyFont="1" applyFill="1" applyBorder="1" applyAlignment="1">
      <alignment vertical="center"/>
    </xf>
    <xf numFmtId="0" fontId="10" fillId="4" borderId="1" xfId="0" applyFont="1" applyFill="1" applyBorder="1" applyAlignment="1">
      <alignment horizontal="left" vertical="center" wrapText="1"/>
    </xf>
    <xf numFmtId="165" fontId="10" fillId="0" borderId="5" xfId="8" applyNumberFormat="1" applyFont="1" applyFill="1" applyBorder="1" applyAlignment="1">
      <alignment vertical="center"/>
    </xf>
    <xf numFmtId="165" fontId="10" fillId="0" borderId="1" xfId="8" applyNumberFormat="1" applyFont="1" applyFill="1" applyBorder="1" applyAlignment="1">
      <alignment vertical="center"/>
    </xf>
    <xf numFmtId="165" fontId="10" fillId="0" borderId="6" xfId="8" applyNumberFormat="1" applyFont="1" applyFill="1" applyBorder="1" applyAlignment="1">
      <alignment vertical="center"/>
    </xf>
    <xf numFmtId="4" fontId="10" fillId="0" borderId="5"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4" fontId="10" fillId="4" borderId="5" xfId="0" applyNumberFormat="1" applyFont="1" applyFill="1" applyBorder="1" applyAlignment="1">
      <alignment vertical="center"/>
    </xf>
    <xf numFmtId="4" fontId="10" fillId="4" borderId="1" xfId="0" applyNumberFormat="1" applyFont="1" applyFill="1" applyBorder="1" applyAlignment="1">
      <alignment vertical="center"/>
    </xf>
    <xf numFmtId="4" fontId="10" fillId="4" borderId="6" xfId="0" applyNumberFormat="1" applyFont="1" applyFill="1" applyBorder="1" applyAlignment="1">
      <alignment vertical="center"/>
    </xf>
    <xf numFmtId="4" fontId="10" fillId="0" borderId="5" xfId="0" applyNumberFormat="1" applyFont="1" applyFill="1" applyBorder="1" applyAlignment="1">
      <alignment vertical="center"/>
    </xf>
    <xf numFmtId="4" fontId="10" fillId="0" borderId="1" xfId="0" applyNumberFormat="1" applyFont="1" applyFill="1" applyBorder="1" applyAlignment="1">
      <alignment vertical="center"/>
    </xf>
    <xf numFmtId="4" fontId="10" fillId="0" borderId="6" xfId="0" applyNumberFormat="1" applyFont="1" applyFill="1" applyBorder="1" applyAlignment="1">
      <alignment vertical="center"/>
    </xf>
    <xf numFmtId="3" fontId="10" fillId="0" borderId="2" xfId="0" applyNumberFormat="1" applyFont="1" applyFill="1" applyBorder="1" applyAlignment="1">
      <alignment vertical="center"/>
    </xf>
    <xf numFmtId="0" fontId="14" fillId="0" borderId="0" xfId="9" applyFont="1" applyBorder="1" applyAlignment="1">
      <alignment vertical="center"/>
    </xf>
    <xf numFmtId="3" fontId="10" fillId="0" borderId="0" xfId="0" applyNumberFormat="1" applyFont="1" applyFill="1" applyBorder="1" applyAlignment="1">
      <alignment vertical="center"/>
    </xf>
    <xf numFmtId="0" fontId="15" fillId="0" borderId="0" xfId="9" applyFont="1" applyBorder="1" applyAlignment="1">
      <alignment vertical="center"/>
    </xf>
    <xf numFmtId="164" fontId="10" fillId="0" borderId="0" xfId="0" applyNumberFormat="1" applyFont="1" applyFill="1" applyBorder="1" applyAlignment="1">
      <alignment vertical="center"/>
    </xf>
    <xf numFmtId="164" fontId="6" fillId="0" borderId="0" xfId="0" applyNumberFormat="1" applyFont="1" applyFill="1" applyBorder="1" applyAlignment="1">
      <alignment vertical="center"/>
    </xf>
    <xf numFmtId="0" fontId="10" fillId="0" borderId="1" xfId="0" applyFont="1" applyFill="1" applyBorder="1" applyAlignment="1">
      <alignment vertical="center" wrapText="1"/>
    </xf>
    <xf numFmtId="0" fontId="23" fillId="0" borderId="1" xfId="0" applyFont="1" applyFill="1" applyBorder="1" applyAlignment="1">
      <alignment vertical="center" wrapText="1"/>
    </xf>
    <xf numFmtId="3" fontId="10" fillId="0" borderId="1" xfId="0" applyNumberFormat="1" applyFont="1" applyFill="1" applyBorder="1" applyAlignment="1">
      <alignment vertical="center" wrapText="1"/>
    </xf>
    <xf numFmtId="0" fontId="10" fillId="0" borderId="0" xfId="0" applyFont="1" applyFill="1" applyBorder="1" applyAlignment="1">
      <alignment vertical="center" wrapText="1"/>
    </xf>
    <xf numFmtId="0" fontId="23" fillId="0" borderId="2" xfId="0" applyFont="1" applyFill="1" applyBorder="1" applyAlignment="1">
      <alignment vertical="center" wrapText="1"/>
    </xf>
    <xf numFmtId="0" fontId="28" fillId="3" borderId="2" xfId="0" applyFont="1" applyFill="1" applyBorder="1" applyAlignment="1">
      <alignment vertical="center" wrapText="1"/>
    </xf>
    <xf numFmtId="164" fontId="28" fillId="3" borderId="5" xfId="0" applyNumberFormat="1" applyFont="1" applyFill="1" applyBorder="1" applyAlignment="1">
      <alignment vertical="center"/>
    </xf>
    <xf numFmtId="164" fontId="28" fillId="3" borderId="1" xfId="0" applyNumberFormat="1" applyFont="1" applyFill="1" applyBorder="1" applyAlignment="1">
      <alignment vertical="center"/>
    </xf>
    <xf numFmtId="164" fontId="28" fillId="3" borderId="6" xfId="0" applyNumberFormat="1" applyFont="1" applyFill="1" applyBorder="1" applyAlignment="1">
      <alignment vertical="center"/>
    </xf>
    <xf numFmtId="164" fontId="25" fillId="0" borderId="0" xfId="0" applyNumberFormat="1" applyFont="1" applyFill="1" applyBorder="1" applyAlignment="1">
      <alignment vertical="center"/>
    </xf>
    <xf numFmtId="164" fontId="4" fillId="0" borderId="0" xfId="0" applyNumberFormat="1" applyFont="1" applyBorder="1" applyAlignment="1">
      <alignment vertical="center"/>
    </xf>
    <xf numFmtId="3" fontId="23" fillId="0" borderId="1" xfId="0" applyNumberFormat="1" applyFont="1" applyFill="1" applyBorder="1" applyAlignment="1">
      <alignment vertical="center" wrapText="1"/>
    </xf>
    <xf numFmtId="0" fontId="28" fillId="3" borderId="1" xfId="0" applyFont="1" applyFill="1" applyBorder="1" applyAlignment="1">
      <alignment vertical="center" wrapText="1"/>
    </xf>
    <xf numFmtId="0" fontId="9" fillId="0" borderId="0" xfId="0" applyFont="1" applyAlignment="1">
      <alignment horizontal="right" vertical="center" wrapText="1"/>
    </xf>
    <xf numFmtId="164" fontId="9" fillId="0" borderId="0" xfId="0" applyNumberFormat="1" applyFont="1" applyBorder="1" applyAlignment="1">
      <alignment vertical="center"/>
    </xf>
    <xf numFmtId="164" fontId="29" fillId="0" borderId="0" xfId="0" applyNumberFormat="1" applyFont="1" applyBorder="1" applyAlignment="1">
      <alignment vertical="center"/>
    </xf>
    <xf numFmtId="0" fontId="9" fillId="0" borderId="0" xfId="0" applyFont="1" applyBorder="1" applyAlignment="1">
      <alignment horizontal="right" vertical="center"/>
    </xf>
    <xf numFmtId="0" fontId="30" fillId="0" borderId="0" xfId="0" applyFont="1" applyBorder="1" applyAlignment="1">
      <alignment horizontal="right" vertical="center"/>
    </xf>
    <xf numFmtId="164" fontId="30" fillId="0" borderId="0" xfId="0" applyNumberFormat="1" applyFont="1" applyBorder="1" applyAlignment="1">
      <alignment vertical="center"/>
    </xf>
    <xf numFmtId="0" fontId="31" fillId="0" borderId="0" xfId="0" applyFont="1" applyBorder="1" applyAlignment="1">
      <alignment vertical="center"/>
    </xf>
    <xf numFmtId="164" fontId="31" fillId="0" borderId="0" xfId="0" applyNumberFormat="1" applyFont="1" applyBorder="1" applyAlignment="1">
      <alignment vertical="center"/>
    </xf>
    <xf numFmtId="0" fontId="32" fillId="0" borderId="0" xfId="0" applyFont="1" applyAlignment="1">
      <alignment horizontal="right" vertical="center" wrapText="1"/>
    </xf>
    <xf numFmtId="164" fontId="32" fillId="0" borderId="0" xfId="0" applyNumberFormat="1" applyFont="1" applyBorder="1" applyAlignment="1">
      <alignment vertical="center"/>
    </xf>
    <xf numFmtId="0" fontId="32" fillId="0" borderId="0" xfId="0" applyFont="1" applyBorder="1" applyAlignment="1">
      <alignment vertical="center"/>
    </xf>
    <xf numFmtId="0" fontId="23"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1" xfId="0" applyFont="1" applyFill="1" applyBorder="1" applyAlignment="1">
      <alignment vertical="center"/>
    </xf>
    <xf numFmtId="0" fontId="10" fillId="0" borderId="1" xfId="0" applyFont="1" applyBorder="1" applyAlignment="1">
      <alignment vertical="center"/>
    </xf>
    <xf numFmtId="0" fontId="28" fillId="3" borderId="1" xfId="0" applyFont="1" applyFill="1" applyBorder="1" applyAlignment="1">
      <alignment vertical="center"/>
    </xf>
    <xf numFmtId="3" fontId="24" fillId="0" borderId="1" xfId="0" applyNumberFormat="1" applyFont="1" applyFill="1" applyBorder="1" applyAlignment="1">
      <alignment vertical="center" wrapText="1"/>
    </xf>
    <xf numFmtId="0" fontId="24" fillId="0" borderId="1" xfId="0" applyFont="1" applyFill="1" applyBorder="1" applyAlignment="1">
      <alignment vertical="center" wrapText="1"/>
    </xf>
    <xf numFmtId="0" fontId="23" fillId="0" borderId="1" xfId="0" applyFont="1" applyBorder="1" applyAlignment="1">
      <alignment vertical="center"/>
    </xf>
    <xf numFmtId="0" fontId="9" fillId="0" borderId="0" xfId="0" applyFont="1" applyBorder="1" applyAlignment="1">
      <alignment vertical="center" wrapText="1"/>
    </xf>
    <xf numFmtId="0" fontId="23" fillId="0" borderId="0" xfId="0" applyFont="1" applyAlignment="1">
      <alignment vertical="center" wrapText="1"/>
    </xf>
    <xf numFmtId="3" fontId="24" fillId="0" borderId="1" xfId="0" applyNumberFormat="1" applyFont="1" applyFill="1" applyBorder="1" applyAlignment="1">
      <alignment vertical="center"/>
    </xf>
    <xf numFmtId="3" fontId="24" fillId="0" borderId="6" xfId="0" applyNumberFormat="1" applyFont="1" applyFill="1" applyBorder="1" applyAlignment="1">
      <alignment vertical="center"/>
    </xf>
    <xf numFmtId="0" fontId="23" fillId="0" borderId="1" xfId="0" applyFont="1" applyBorder="1" applyAlignment="1">
      <alignment vertical="center" wrapText="1"/>
    </xf>
    <xf numFmtId="0" fontId="10" fillId="0" borderId="1" xfId="0" applyFont="1" applyBorder="1" applyAlignment="1">
      <alignment vertical="center" wrapText="1"/>
    </xf>
    <xf numFmtId="164" fontId="5" fillId="0" borderId="0" xfId="0" applyNumberFormat="1" applyFont="1" applyBorder="1" applyAlignment="1">
      <alignment vertical="center"/>
    </xf>
    <xf numFmtId="0" fontId="24" fillId="0" borderId="1" xfId="0" applyFont="1" applyBorder="1" applyAlignment="1">
      <alignment vertical="center"/>
    </xf>
    <xf numFmtId="0" fontId="10" fillId="0" borderId="0" xfId="0" applyFont="1" applyAlignment="1">
      <alignment vertical="center" wrapText="1"/>
    </xf>
    <xf numFmtId="0" fontId="6" fillId="0" borderId="0" xfId="0" applyFont="1" applyBorder="1" applyAlignment="1">
      <alignment vertical="center"/>
    </xf>
    <xf numFmtId="0" fontId="24" fillId="0" borderId="1" xfId="0" applyFont="1" applyFill="1" applyBorder="1" applyAlignment="1">
      <alignment horizontal="left" vertical="center"/>
    </xf>
    <xf numFmtId="0" fontId="24" fillId="5" borderId="0" xfId="0" applyFont="1" applyFill="1" applyBorder="1" applyAlignment="1">
      <alignment horizontal="right" vertical="center" wrapText="1"/>
    </xf>
    <xf numFmtId="164" fontId="10" fillId="0" borderId="5"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164" fontId="33" fillId="0" borderId="5" xfId="0" applyNumberFormat="1" applyFont="1" applyFill="1" applyBorder="1" applyAlignment="1">
      <alignment vertical="center"/>
    </xf>
    <xf numFmtId="164" fontId="33" fillId="0" borderId="1" xfId="0" applyNumberFormat="1" applyFont="1" applyFill="1" applyBorder="1" applyAlignment="1">
      <alignment vertical="center"/>
    </xf>
    <xf numFmtId="164" fontId="34" fillId="0" borderId="5" xfId="0" applyNumberFormat="1" applyFont="1" applyFill="1" applyBorder="1" applyAlignment="1">
      <alignment vertical="center"/>
    </xf>
    <xf numFmtId="164" fontId="34" fillId="0" borderId="1" xfId="0" applyNumberFormat="1" applyFont="1" applyFill="1" applyBorder="1" applyAlignment="1">
      <alignment vertical="center"/>
    </xf>
    <xf numFmtId="166" fontId="34" fillId="0" borderId="5" xfId="8" applyNumberFormat="1" applyFont="1" applyFill="1" applyBorder="1" applyAlignment="1">
      <alignment vertical="center"/>
    </xf>
    <xf numFmtId="166" fontId="34" fillId="0" borderId="1" xfId="8" applyNumberFormat="1" applyFont="1" applyFill="1" applyBorder="1" applyAlignment="1">
      <alignment vertical="center"/>
    </xf>
    <xf numFmtId="166" fontId="10" fillId="0" borderId="1" xfId="8" applyNumberFormat="1" applyFont="1" applyFill="1" applyBorder="1" applyAlignment="1">
      <alignment vertical="center"/>
    </xf>
    <xf numFmtId="166" fontId="10" fillId="0" borderId="6" xfId="8" applyNumberFormat="1" applyFont="1" applyFill="1" applyBorder="1" applyAlignment="1">
      <alignment vertical="center"/>
    </xf>
    <xf numFmtId="166" fontId="10" fillId="0" borderId="5" xfId="8" applyNumberFormat="1" applyFont="1" applyFill="1" applyBorder="1" applyAlignment="1">
      <alignment vertical="center"/>
    </xf>
    <xf numFmtId="3" fontId="34" fillId="0" borderId="5" xfId="0" applyNumberFormat="1" applyFont="1" applyFill="1" applyBorder="1" applyAlignment="1">
      <alignment vertical="center"/>
    </xf>
    <xf numFmtId="3" fontId="34" fillId="0" borderId="1" xfId="0" applyNumberFormat="1" applyFont="1" applyFill="1" applyBorder="1" applyAlignment="1">
      <alignment vertical="center"/>
    </xf>
    <xf numFmtId="164" fontId="33" fillId="3" borderId="5" xfId="0" applyNumberFormat="1" applyFont="1" applyFill="1" applyBorder="1" applyAlignment="1">
      <alignment vertical="center"/>
    </xf>
    <xf numFmtId="164" fontId="33" fillId="3" borderId="1" xfId="0" applyNumberFormat="1" applyFont="1" applyFill="1" applyBorder="1" applyAlignment="1">
      <alignment vertical="center"/>
    </xf>
    <xf numFmtId="0" fontId="23" fillId="0" borderId="0" xfId="0" applyFont="1" applyBorder="1" applyAlignment="1">
      <alignment vertical="center"/>
    </xf>
    <xf numFmtId="166" fontId="33" fillId="0" borderId="5" xfId="8" applyNumberFormat="1" applyFont="1" applyFill="1" applyBorder="1" applyAlignment="1">
      <alignment vertical="center"/>
    </xf>
    <xf numFmtId="166" fontId="33" fillId="0" borderId="1" xfId="8" applyNumberFormat="1" applyFont="1" applyFill="1" applyBorder="1" applyAlignment="1">
      <alignment vertical="center"/>
    </xf>
    <xf numFmtId="166" fontId="23" fillId="0" borderId="1" xfId="8" applyNumberFormat="1" applyFont="1" applyFill="1" applyBorder="1" applyAlignment="1">
      <alignment vertical="center"/>
    </xf>
    <xf numFmtId="166" fontId="23" fillId="0" borderId="6" xfId="8" applyNumberFormat="1" applyFont="1" applyFill="1" applyBorder="1" applyAlignment="1">
      <alignment vertical="center"/>
    </xf>
    <xf numFmtId="166" fontId="23" fillId="0" borderId="5" xfId="8" applyNumberFormat="1" applyFont="1" applyFill="1" applyBorder="1" applyAlignment="1">
      <alignment vertical="center"/>
    </xf>
    <xf numFmtId="164" fontId="32" fillId="0" borderId="0" xfId="0" applyNumberFormat="1" applyFont="1" applyBorder="1" applyAlignment="1">
      <alignment horizontal="right" vertical="center"/>
    </xf>
    <xf numFmtId="0" fontId="24" fillId="0" borderId="1" xfId="0" applyFont="1" applyFill="1" applyBorder="1" applyAlignment="1">
      <alignment vertical="center"/>
    </xf>
    <xf numFmtId="0" fontId="24" fillId="0" borderId="0" xfId="0" applyFont="1" applyAlignment="1">
      <alignment vertical="center" wrapText="1"/>
    </xf>
    <xf numFmtId="3" fontId="5" fillId="4" borderId="5" xfId="0" applyNumberFormat="1" applyFont="1" applyFill="1" applyBorder="1" applyAlignment="1">
      <alignment vertical="center"/>
    </xf>
    <xf numFmtId="3" fontId="5" fillId="4" borderId="1" xfId="0" applyNumberFormat="1" applyFont="1" applyFill="1" applyBorder="1" applyAlignment="1">
      <alignment vertical="center"/>
    </xf>
    <xf numFmtId="0" fontId="35" fillId="0" borderId="0" xfId="0" applyFont="1" applyAlignment="1">
      <alignment vertical="center"/>
    </xf>
    <xf numFmtId="0" fontId="5"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36" fillId="0" borderId="0" xfId="0" applyFont="1"/>
    <xf numFmtId="3" fontId="8" fillId="0" borderId="3" xfId="0" applyNumberFormat="1" applyFont="1" applyFill="1" applyBorder="1" applyAlignment="1">
      <alignment vertical="center" wrapText="1"/>
    </xf>
    <xf numFmtId="0" fontId="37" fillId="3" borderId="1" xfId="0" applyFont="1" applyFill="1" applyBorder="1" applyAlignment="1">
      <alignment vertical="center" wrapText="1"/>
    </xf>
    <xf numFmtId="10" fontId="37" fillId="3" borderId="5" xfId="8" applyNumberFormat="1" applyFont="1" applyFill="1" applyBorder="1" applyAlignment="1">
      <alignment vertical="center"/>
    </xf>
    <xf numFmtId="10" fontId="37" fillId="3" borderId="1" xfId="8" applyNumberFormat="1" applyFont="1" applyFill="1" applyBorder="1" applyAlignment="1">
      <alignment vertical="center"/>
    </xf>
    <xf numFmtId="10" fontId="37" fillId="3" borderId="6" xfId="8" applyNumberFormat="1" applyFont="1" applyFill="1" applyBorder="1" applyAlignment="1">
      <alignment vertical="center"/>
    </xf>
    <xf numFmtId="0" fontId="38" fillId="0" borderId="0" xfId="0" applyFont="1" applyAlignment="1">
      <alignment vertical="center"/>
    </xf>
    <xf numFmtId="0" fontId="39" fillId="0" borderId="0" xfId="0" applyFont="1"/>
    <xf numFmtId="0" fontId="40" fillId="0" borderId="1" xfId="0" applyFont="1" applyBorder="1" applyAlignment="1">
      <alignment vertical="center"/>
    </xf>
    <xf numFmtId="0" fontId="0" fillId="0" borderId="5" xfId="0" applyBorder="1"/>
    <xf numFmtId="0" fontId="0" fillId="0" borderId="1" xfId="0" applyBorder="1"/>
    <xf numFmtId="0" fontId="0" fillId="0" borderId="6" xfId="0" applyBorder="1"/>
    <xf numFmtId="0" fontId="41" fillId="0" borderId="1" xfId="0" applyFont="1" applyFill="1" applyBorder="1" applyAlignment="1">
      <alignment vertical="center"/>
    </xf>
    <xf numFmtId="164" fontId="42" fillId="0" borderId="5" xfId="0" applyNumberFormat="1" applyFont="1" applyFill="1" applyBorder="1" applyAlignment="1">
      <alignment vertical="center"/>
    </xf>
    <xf numFmtId="164" fontId="42" fillId="0" borderId="1" xfId="0" applyNumberFormat="1" applyFont="1" applyFill="1" applyBorder="1" applyAlignment="1">
      <alignment vertical="center"/>
    </xf>
    <xf numFmtId="164" fontId="42" fillId="0" borderId="6" xfId="0" applyNumberFormat="1" applyFont="1" applyFill="1" applyBorder="1" applyAlignment="1">
      <alignment vertical="center"/>
    </xf>
    <xf numFmtId="0" fontId="43" fillId="0" borderId="1" xfId="0" applyFont="1" applyFill="1" applyBorder="1" applyAlignment="1">
      <alignment vertical="center"/>
    </xf>
    <xf numFmtId="164" fontId="43" fillId="0" borderId="5" xfId="0" applyNumberFormat="1" applyFont="1" applyFill="1" applyBorder="1" applyAlignment="1">
      <alignment vertical="center"/>
    </xf>
    <xf numFmtId="164" fontId="43" fillId="0" borderId="1" xfId="0" applyNumberFormat="1" applyFont="1" applyFill="1" applyBorder="1" applyAlignment="1">
      <alignment vertical="center"/>
    </xf>
    <xf numFmtId="164" fontId="43" fillId="0" borderId="6" xfId="0" applyNumberFormat="1" applyFont="1" applyFill="1" applyBorder="1" applyAlignment="1">
      <alignment vertical="center"/>
    </xf>
    <xf numFmtId="0" fontId="44" fillId="0" borderId="0" xfId="0" applyFont="1" applyAlignment="1">
      <alignment vertical="center"/>
    </xf>
    <xf numFmtId="0" fontId="45" fillId="0" borderId="0" xfId="0" applyFont="1"/>
    <xf numFmtId="0" fontId="44" fillId="0" borderId="0" xfId="0" applyFont="1" applyFill="1" applyAlignment="1">
      <alignment vertical="center"/>
    </xf>
    <xf numFmtId="0" fontId="45" fillId="0" borderId="0" xfId="0" applyFont="1" applyFill="1"/>
    <xf numFmtId="0" fontId="43" fillId="0" borderId="1" xfId="0" applyFont="1" applyFill="1" applyBorder="1" applyAlignment="1">
      <alignment vertical="center" wrapText="1"/>
    </xf>
    <xf numFmtId="164" fontId="43" fillId="0" borderId="5" xfId="0" applyNumberFormat="1" applyFont="1" applyFill="1" applyBorder="1" applyAlignment="1">
      <alignment horizontal="right" vertical="center"/>
    </xf>
    <xf numFmtId="164" fontId="43" fillId="0" borderId="1" xfId="0" applyNumberFormat="1" applyFont="1" applyFill="1" applyBorder="1" applyAlignment="1">
      <alignment horizontal="right" vertical="center"/>
    </xf>
    <xf numFmtId="164" fontId="43" fillId="0" borderId="6" xfId="0" applyNumberFormat="1" applyFont="1" applyFill="1" applyBorder="1" applyAlignment="1">
      <alignment horizontal="right" vertical="center"/>
    </xf>
    <xf numFmtId="0" fontId="40" fillId="0" borderId="1" xfId="0" applyFont="1" applyFill="1" applyBorder="1" applyAlignment="1">
      <alignment vertical="center"/>
    </xf>
    <xf numFmtId="164" fontId="46" fillId="0" borderId="5" xfId="0" applyNumberFormat="1" applyFont="1" applyFill="1" applyBorder="1" applyAlignment="1">
      <alignment vertical="center"/>
    </xf>
    <xf numFmtId="164" fontId="46" fillId="0" borderId="1" xfId="0" applyNumberFormat="1" applyFont="1" applyFill="1" applyBorder="1" applyAlignment="1">
      <alignment vertical="center"/>
    </xf>
    <xf numFmtId="164" fontId="46" fillId="0" borderId="6" xfId="0" applyNumberFormat="1" applyFont="1" applyFill="1" applyBorder="1" applyAlignment="1">
      <alignment vertical="center"/>
    </xf>
    <xf numFmtId="0" fontId="41" fillId="0" borderId="1" xfId="0" applyFont="1" applyFill="1" applyBorder="1" applyAlignment="1"/>
    <xf numFmtId="0" fontId="41" fillId="0" borderId="1" xfId="0" applyFont="1" applyFill="1" applyBorder="1"/>
    <xf numFmtId="0" fontId="43" fillId="0" borderId="1" xfId="0" applyFont="1" applyBorder="1" applyAlignment="1">
      <alignment vertical="center"/>
    </xf>
    <xf numFmtId="164" fontId="43" fillId="0" borderId="5" xfId="0" applyNumberFormat="1" applyFont="1" applyBorder="1" applyAlignment="1">
      <alignment vertical="center"/>
    </xf>
    <xf numFmtId="164" fontId="43" fillId="0" borderId="1" xfId="0" applyNumberFormat="1" applyFont="1" applyBorder="1" applyAlignment="1">
      <alignment vertical="center"/>
    </xf>
    <xf numFmtId="164" fontId="43" fillId="0" borderId="6" xfId="0" applyNumberFormat="1" applyFont="1" applyBorder="1" applyAlignment="1">
      <alignment vertical="center"/>
    </xf>
    <xf numFmtId="0" fontId="19" fillId="0" borderId="1" xfId="0" applyFont="1" applyFill="1" applyBorder="1" applyAlignment="1">
      <alignment vertical="center"/>
    </xf>
    <xf numFmtId="164" fontId="19" fillId="0" borderId="5" xfId="0" applyNumberFormat="1" applyFont="1" applyFill="1" applyBorder="1" applyAlignment="1">
      <alignment horizontal="right" vertical="center"/>
    </xf>
    <xf numFmtId="164" fontId="19" fillId="0" borderId="1" xfId="0" applyNumberFormat="1" applyFont="1" applyFill="1" applyBorder="1" applyAlignment="1">
      <alignment horizontal="right" vertical="center"/>
    </xf>
    <xf numFmtId="164" fontId="19" fillId="0" borderId="6" xfId="0" applyNumberFormat="1" applyFont="1" applyFill="1" applyBorder="1" applyAlignment="1">
      <alignment horizontal="right" vertical="center"/>
    </xf>
    <xf numFmtId="164" fontId="19" fillId="0" borderId="5" xfId="0" applyNumberFormat="1" applyFont="1" applyFill="1" applyBorder="1" applyAlignment="1">
      <alignment vertical="center"/>
    </xf>
    <xf numFmtId="164" fontId="19" fillId="0" borderId="1" xfId="0" applyNumberFormat="1" applyFont="1" applyFill="1" applyBorder="1" applyAlignment="1">
      <alignment vertical="center"/>
    </xf>
    <xf numFmtId="164" fontId="19" fillId="0" borderId="6" xfId="0" applyNumberFormat="1" applyFont="1" applyFill="1" applyBorder="1" applyAlignment="1">
      <alignment vertical="center"/>
    </xf>
    <xf numFmtId="0" fontId="42" fillId="0" borderId="5" xfId="0" applyFont="1" applyBorder="1" applyAlignment="1">
      <alignment horizontal="right" vertical="center" wrapText="1"/>
    </xf>
    <xf numFmtId="0" fontId="42" fillId="0" borderId="1" xfId="0" applyFont="1" applyBorder="1" applyAlignment="1">
      <alignment horizontal="right" vertical="center" wrapText="1"/>
    </xf>
    <xf numFmtId="0" fontId="42" fillId="0" borderId="6" xfId="0" applyFont="1" applyBorder="1" applyAlignment="1">
      <alignment horizontal="right" vertical="center" wrapText="1"/>
    </xf>
    <xf numFmtId="164" fontId="19" fillId="0" borderId="5" xfId="0" applyNumberFormat="1" applyFont="1" applyBorder="1" applyAlignment="1">
      <alignment vertical="center"/>
    </xf>
    <xf numFmtId="164" fontId="19" fillId="0" borderId="1" xfId="0" applyNumberFormat="1" applyFont="1" applyBorder="1" applyAlignment="1">
      <alignment vertical="center"/>
    </xf>
    <xf numFmtId="164" fontId="19" fillId="0" borderId="6" xfId="0" applyNumberFormat="1" applyFont="1" applyBorder="1" applyAlignment="1">
      <alignment vertical="center"/>
    </xf>
    <xf numFmtId="0" fontId="19" fillId="0" borderId="1" xfId="0" applyFont="1" applyBorder="1" applyAlignment="1">
      <alignment vertical="top" wrapText="1"/>
    </xf>
    <xf numFmtId="164" fontId="19" fillId="0" borderId="5" xfId="0" applyNumberFormat="1" applyFont="1" applyBorder="1" applyAlignment="1">
      <alignment horizontal="right" vertical="center"/>
    </xf>
    <xf numFmtId="164" fontId="19" fillId="0" borderId="1" xfId="0" applyNumberFormat="1" applyFont="1" applyBorder="1" applyAlignment="1">
      <alignment horizontal="right" vertical="center"/>
    </xf>
    <xf numFmtId="164" fontId="19" fillId="0" borderId="6" xfId="0" applyNumberFormat="1" applyFont="1" applyBorder="1" applyAlignment="1">
      <alignment horizontal="right" vertical="center"/>
    </xf>
    <xf numFmtId="0" fontId="47" fillId="0" borderId="1" xfId="0" applyFont="1" applyBorder="1" applyAlignment="1">
      <alignment vertical="center"/>
    </xf>
    <xf numFmtId="0" fontId="37" fillId="3" borderId="1" xfId="0" applyFont="1" applyFill="1" applyBorder="1" applyAlignment="1">
      <alignment vertical="center"/>
    </xf>
    <xf numFmtId="10" fontId="37" fillId="3" borderId="5" xfId="0" applyNumberFormat="1" applyFont="1" applyFill="1" applyBorder="1" applyAlignment="1">
      <alignment horizontal="right" vertical="center" wrapText="1"/>
    </xf>
    <xf numFmtId="10" fontId="37" fillId="3" borderId="1" xfId="0" applyNumberFormat="1" applyFont="1" applyFill="1" applyBorder="1" applyAlignment="1">
      <alignment horizontal="right" vertical="center" wrapText="1"/>
    </xf>
    <xf numFmtId="10" fontId="37" fillId="3" borderId="6" xfId="0" applyNumberFormat="1" applyFont="1" applyFill="1" applyBorder="1" applyAlignment="1">
      <alignment horizontal="right" vertical="center" wrapText="1"/>
    </xf>
    <xf numFmtId="0" fontId="49" fillId="3" borderId="1" xfId="0" applyFont="1" applyFill="1" applyBorder="1" applyAlignment="1">
      <alignment vertical="center" wrapText="1"/>
    </xf>
    <xf numFmtId="10" fontId="49" fillId="3" borderId="5" xfId="8" applyNumberFormat="1" applyFont="1" applyFill="1" applyBorder="1" applyAlignment="1">
      <alignment vertical="center"/>
    </xf>
    <xf numFmtId="10" fontId="49" fillId="3" borderId="9" xfId="8" applyNumberFormat="1" applyFont="1" applyFill="1" applyBorder="1" applyAlignment="1">
      <alignment vertical="center"/>
    </xf>
    <xf numFmtId="10" fontId="49" fillId="3" borderId="1" xfId="8" applyNumberFormat="1" applyFont="1" applyFill="1" applyBorder="1" applyAlignment="1">
      <alignment vertical="center"/>
    </xf>
    <xf numFmtId="0" fontId="50" fillId="0" borderId="0" xfId="0" applyFont="1"/>
    <xf numFmtId="164" fontId="0" fillId="0" borderId="0" xfId="0" applyNumberFormat="1"/>
    <xf numFmtId="0" fontId="4" fillId="0" borderId="0" xfId="4" applyFont="1" applyAlignment="1">
      <alignment vertical="center" wrapText="1"/>
    </xf>
    <xf numFmtId="0" fontId="4" fillId="0" borderId="0" xfId="4" applyFont="1" applyFill="1" applyBorder="1" applyAlignment="1">
      <alignment vertical="center"/>
    </xf>
    <xf numFmtId="0" fontId="4" fillId="0" borderId="0" xfId="4" applyFont="1" applyBorder="1" applyAlignment="1">
      <alignment vertical="center"/>
    </xf>
    <xf numFmtId="4" fontId="35" fillId="0" borderId="0" xfId="4" applyNumberFormat="1" applyFont="1" applyAlignment="1">
      <alignment vertical="center"/>
    </xf>
    <xf numFmtId="0" fontId="3" fillId="0" borderId="0" xfId="4"/>
    <xf numFmtId="3" fontId="22" fillId="2" borderId="4" xfId="4" applyNumberFormat="1" applyFont="1" applyFill="1" applyBorder="1" applyAlignment="1">
      <alignment horizontal="right" vertical="center" wrapText="1"/>
    </xf>
    <xf numFmtId="3" fontId="22" fillId="2" borderId="0" xfId="4" applyNumberFormat="1" applyFont="1" applyFill="1" applyBorder="1" applyAlignment="1">
      <alignment horizontal="right" vertical="center" wrapText="1"/>
    </xf>
    <xf numFmtId="3" fontId="22" fillId="2" borderId="12" xfId="4" applyNumberFormat="1" applyFont="1" applyFill="1" applyBorder="1" applyAlignment="1">
      <alignment horizontal="right" vertical="center" wrapText="1"/>
    </xf>
    <xf numFmtId="0" fontId="35" fillId="0" borderId="0" xfId="4" applyFont="1" applyAlignment="1">
      <alignment vertical="center"/>
    </xf>
    <xf numFmtId="3" fontId="10" fillId="0" borderId="1" xfId="4" applyNumberFormat="1" applyFont="1" applyFill="1" applyBorder="1" applyAlignment="1">
      <alignment horizontal="right" vertical="center"/>
    </xf>
    <xf numFmtId="3" fontId="4" fillId="0" borderId="5" xfId="4" applyNumberFormat="1" applyFont="1" applyFill="1" applyBorder="1" applyAlignment="1">
      <alignment vertical="center"/>
    </xf>
    <xf numFmtId="3" fontId="6" fillId="0" borderId="1" xfId="4" applyNumberFormat="1" applyFont="1" applyFill="1" applyBorder="1" applyAlignment="1">
      <alignment vertical="center"/>
    </xf>
    <xf numFmtId="3" fontId="4" fillId="0" borderId="1" xfId="4" applyNumberFormat="1" applyFont="1" applyFill="1" applyBorder="1" applyAlignment="1">
      <alignment vertical="center"/>
    </xf>
    <xf numFmtId="164" fontId="4" fillId="0" borderId="5" xfId="4" applyNumberFormat="1" applyFont="1" applyFill="1" applyBorder="1" applyAlignment="1">
      <alignment vertical="center"/>
    </xf>
    <xf numFmtId="3" fontId="6" fillId="0" borderId="6" xfId="4" applyNumberFormat="1" applyFont="1" applyFill="1" applyBorder="1" applyAlignment="1">
      <alignment vertical="center"/>
    </xf>
    <xf numFmtId="0" fontId="8" fillId="0" borderId="1" xfId="4" applyFont="1" applyFill="1" applyBorder="1" applyAlignment="1">
      <alignment vertical="center" wrapText="1"/>
    </xf>
    <xf numFmtId="164" fontId="10" fillId="0" borderId="5" xfId="4" applyNumberFormat="1" applyFont="1" applyFill="1" applyBorder="1" applyAlignment="1">
      <alignment vertical="center"/>
    </xf>
    <xf numFmtId="164" fontId="10" fillId="0" borderId="1" xfId="4" applyNumberFormat="1" applyFont="1" applyFill="1" applyBorder="1" applyAlignment="1">
      <alignment vertical="center"/>
    </xf>
    <xf numFmtId="164" fontId="10" fillId="0" borderId="6" xfId="4" applyNumberFormat="1" applyFont="1" applyFill="1" applyBorder="1" applyAlignment="1">
      <alignment vertical="center"/>
    </xf>
    <xf numFmtId="0" fontId="5" fillId="0" borderId="1" xfId="4" applyFont="1" applyFill="1" applyBorder="1" applyAlignment="1">
      <alignment horizontal="left" vertical="center" wrapText="1"/>
    </xf>
    <xf numFmtId="0" fontId="5" fillId="0" borderId="1" xfId="4" applyFont="1" applyFill="1" applyBorder="1" applyAlignment="1">
      <alignment horizontal="left" vertical="center"/>
    </xf>
    <xf numFmtId="164" fontId="10" fillId="0" borderId="5" xfId="4" applyNumberFormat="1" applyFont="1" applyFill="1" applyBorder="1" applyAlignment="1">
      <alignment horizontal="right" vertical="center"/>
    </xf>
    <xf numFmtId="164" fontId="10" fillId="0" borderId="1" xfId="4" applyNumberFormat="1" applyFont="1" applyFill="1" applyBorder="1" applyAlignment="1">
      <alignment horizontal="right" vertical="center"/>
    </xf>
    <xf numFmtId="164" fontId="10" fillId="0" borderId="6" xfId="4" applyNumberFormat="1" applyFont="1" applyFill="1" applyBorder="1" applyAlignment="1">
      <alignment horizontal="right" vertical="center"/>
    </xf>
    <xf numFmtId="0" fontId="8" fillId="0" borderId="1" xfId="4" applyFont="1" applyFill="1" applyBorder="1" applyAlignment="1">
      <alignment horizontal="left" vertical="center" wrapText="1"/>
    </xf>
    <xf numFmtId="164" fontId="23" fillId="0" borderId="5" xfId="4" applyNumberFormat="1" applyFont="1" applyFill="1" applyBorder="1" applyAlignment="1">
      <alignment vertical="center"/>
    </xf>
    <xf numFmtId="164" fontId="23" fillId="0" borderId="1" xfId="4" applyNumberFormat="1" applyFont="1" applyFill="1" applyBorder="1" applyAlignment="1">
      <alignment vertical="center"/>
    </xf>
    <xf numFmtId="164" fontId="23" fillId="0" borderId="6" xfId="4" applyNumberFormat="1" applyFont="1" applyFill="1" applyBorder="1" applyAlignment="1">
      <alignment vertical="center"/>
    </xf>
    <xf numFmtId="3" fontId="8" fillId="0" borderId="1" xfId="4" applyNumberFormat="1" applyFont="1" applyFill="1" applyBorder="1" applyAlignment="1">
      <alignment vertical="center" wrapText="1"/>
    </xf>
    <xf numFmtId="0" fontId="18" fillId="0" borderId="1" xfId="4" applyFont="1" applyFill="1" applyBorder="1" applyAlignment="1">
      <alignment horizontal="left" vertical="center" wrapText="1"/>
    </xf>
    <xf numFmtId="164" fontId="24" fillId="0" borderId="6" xfId="4" applyNumberFormat="1" applyFont="1" applyFill="1" applyBorder="1" applyAlignment="1">
      <alignment vertical="center"/>
    </xf>
    <xf numFmtId="164" fontId="24" fillId="0" borderId="1" xfId="4" applyNumberFormat="1" applyFont="1" applyFill="1" applyBorder="1" applyAlignment="1">
      <alignment vertical="center"/>
    </xf>
    <xf numFmtId="0" fontId="36" fillId="0" borderId="0" xfId="4" applyFont="1"/>
    <xf numFmtId="3" fontId="8" fillId="0" borderId="3" xfId="4" applyNumberFormat="1" applyFont="1" applyFill="1" applyBorder="1" applyAlignment="1">
      <alignment vertical="center" wrapText="1"/>
    </xf>
    <xf numFmtId="0" fontId="37" fillId="3" borderId="1" xfId="4" applyFont="1" applyFill="1" applyBorder="1" applyAlignment="1">
      <alignment vertical="center" wrapText="1"/>
    </xf>
    <xf numFmtId="10" fontId="37" fillId="3" borderId="5" xfId="11" applyNumberFormat="1" applyFont="1" applyFill="1" applyBorder="1" applyAlignment="1">
      <alignment vertical="center"/>
    </xf>
    <xf numFmtId="10" fontId="37" fillId="3" borderId="1" xfId="11" applyNumberFormat="1" applyFont="1" applyFill="1" applyBorder="1" applyAlignment="1">
      <alignment vertical="center"/>
    </xf>
    <xf numFmtId="10" fontId="37" fillId="3" borderId="6" xfId="11" applyNumberFormat="1" applyFont="1" applyFill="1" applyBorder="1" applyAlignment="1">
      <alignment vertical="center"/>
    </xf>
    <xf numFmtId="4" fontId="38" fillId="0" borderId="0" xfId="4" applyNumberFormat="1" applyFont="1" applyAlignment="1">
      <alignment vertical="center"/>
    </xf>
    <xf numFmtId="0" fontId="39" fillId="0" borderId="0" xfId="4" applyFont="1"/>
    <xf numFmtId="0" fontId="40" fillId="0" borderId="1" xfId="4" applyFont="1" applyBorder="1" applyAlignment="1">
      <alignment vertical="center"/>
    </xf>
    <xf numFmtId="0" fontId="3" fillId="0" borderId="5" xfId="4" applyBorder="1"/>
    <xf numFmtId="0" fontId="3" fillId="0" borderId="1" xfId="4" applyBorder="1"/>
    <xf numFmtId="0" fontId="3" fillId="0" borderId="6" xfId="4" applyBorder="1"/>
    <xf numFmtId="0" fontId="41" fillId="0" borderId="1" xfId="4" applyFont="1" applyFill="1" applyBorder="1" applyAlignment="1">
      <alignment vertical="center"/>
    </xf>
    <xf numFmtId="164" fontId="42" fillId="0" borderId="5" xfId="4" applyNumberFormat="1" applyFont="1" applyFill="1" applyBorder="1" applyAlignment="1">
      <alignment vertical="center"/>
    </xf>
    <xf numFmtId="164" fontId="42" fillId="0" borderId="1" xfId="4" applyNumberFormat="1" applyFont="1" applyFill="1" applyBorder="1" applyAlignment="1">
      <alignment vertical="center"/>
    </xf>
    <xf numFmtId="164" fontId="42" fillId="0" borderId="6" xfId="4" applyNumberFormat="1" applyFont="1" applyFill="1" applyBorder="1" applyAlignment="1">
      <alignment vertical="center"/>
    </xf>
    <xf numFmtId="0" fontId="43" fillId="0" borderId="1" xfId="4" applyFont="1" applyFill="1" applyBorder="1" applyAlignment="1">
      <alignment vertical="center"/>
    </xf>
    <xf numFmtId="164" fontId="43" fillId="0" borderId="5" xfId="4" applyNumberFormat="1" applyFont="1" applyFill="1" applyBorder="1" applyAlignment="1">
      <alignment vertical="center"/>
    </xf>
    <xf numFmtId="164" fontId="43" fillId="0" borderId="1" xfId="4" applyNumberFormat="1" applyFont="1" applyFill="1" applyBorder="1" applyAlignment="1">
      <alignment vertical="center"/>
    </xf>
    <xf numFmtId="164" fontId="43" fillId="0" borderId="6" xfId="4" applyNumberFormat="1" applyFont="1" applyFill="1" applyBorder="1" applyAlignment="1">
      <alignment vertical="center"/>
    </xf>
    <xf numFmtId="4" fontId="44" fillId="0" borderId="0" xfId="4" applyNumberFormat="1" applyFont="1" applyAlignment="1">
      <alignment vertical="center"/>
    </xf>
    <xf numFmtId="0" fontId="45" fillId="0" borderId="0" xfId="4" applyFont="1"/>
    <xf numFmtId="4" fontId="44" fillId="0" borderId="0" xfId="4" applyNumberFormat="1" applyFont="1" applyFill="1" applyAlignment="1">
      <alignment vertical="center"/>
    </xf>
    <xf numFmtId="0" fontId="45" fillId="0" borderId="0" xfId="4" applyFont="1" applyFill="1"/>
    <xf numFmtId="0" fontId="43" fillId="0" borderId="1" xfId="4" applyFont="1" applyFill="1" applyBorder="1" applyAlignment="1">
      <alignment vertical="center" wrapText="1"/>
    </xf>
    <xf numFmtId="164" fontId="43" fillId="0" borderId="5" xfId="4" applyNumberFormat="1" applyFont="1" applyFill="1" applyBorder="1" applyAlignment="1">
      <alignment horizontal="right" vertical="center"/>
    </xf>
    <xf numFmtId="164" fontId="43" fillId="0" borderId="1" xfId="4" applyNumberFormat="1" applyFont="1" applyFill="1" applyBorder="1" applyAlignment="1">
      <alignment horizontal="right" vertical="center"/>
    </xf>
    <xf numFmtId="164" fontId="43" fillId="0" borderId="6" xfId="4" applyNumberFormat="1" applyFont="1" applyFill="1" applyBorder="1" applyAlignment="1">
      <alignment horizontal="right" vertical="center"/>
    </xf>
    <xf numFmtId="0" fontId="40" fillId="0" borderId="1" xfId="4" applyFont="1" applyFill="1" applyBorder="1" applyAlignment="1">
      <alignment vertical="center"/>
    </xf>
    <xf numFmtId="164" fontId="46" fillId="0" borderId="5" xfId="4" applyNumberFormat="1" applyFont="1" applyFill="1" applyBorder="1" applyAlignment="1">
      <alignment vertical="center"/>
    </xf>
    <xf numFmtId="164" fontId="46" fillId="0" borderId="1" xfId="4" applyNumberFormat="1" applyFont="1" applyFill="1" applyBorder="1" applyAlignment="1">
      <alignment vertical="center"/>
    </xf>
    <xf numFmtId="164" fontId="46" fillId="0" borderId="6" xfId="4" applyNumberFormat="1" applyFont="1" applyFill="1" applyBorder="1" applyAlignment="1">
      <alignment vertical="center"/>
    </xf>
    <xf numFmtId="0" fontId="41" fillId="0" borderId="1" xfId="4" applyFont="1" applyFill="1" applyBorder="1" applyAlignment="1"/>
    <xf numFmtId="0" fontId="41" fillId="0" borderId="1" xfId="4" applyFont="1" applyFill="1" applyBorder="1"/>
    <xf numFmtId="0" fontId="43" fillId="0" borderId="1" xfId="4" applyFont="1" applyBorder="1" applyAlignment="1">
      <alignment vertical="center"/>
    </xf>
    <xf numFmtId="164" fontId="43" fillId="0" borderId="5" xfId="4" applyNumberFormat="1" applyFont="1" applyBorder="1" applyAlignment="1">
      <alignment vertical="center"/>
    </xf>
    <xf numFmtId="164" fontId="43" fillId="0" borderId="1" xfId="4" applyNumberFormat="1" applyFont="1" applyBorder="1" applyAlignment="1">
      <alignment vertical="center"/>
    </xf>
    <xf numFmtId="164" fontId="43" fillId="0" borderId="6" xfId="4" applyNumberFormat="1" applyFont="1" applyBorder="1" applyAlignment="1">
      <alignment vertical="center"/>
    </xf>
    <xf numFmtId="0" fontId="19" fillId="0" borderId="1" xfId="4" applyFont="1" applyFill="1" applyBorder="1" applyAlignment="1">
      <alignment vertical="center"/>
    </xf>
    <xf numFmtId="164" fontId="19" fillId="0" borderId="5" xfId="4" applyNumberFormat="1" applyFont="1" applyFill="1" applyBorder="1" applyAlignment="1">
      <alignment horizontal="right" vertical="center"/>
    </xf>
    <xf numFmtId="164" fontId="19" fillId="0" borderId="1" xfId="4" applyNumberFormat="1" applyFont="1" applyFill="1" applyBorder="1" applyAlignment="1">
      <alignment horizontal="right" vertical="center"/>
    </xf>
    <xf numFmtId="164" fontId="19" fillId="0" borderId="6" xfId="4" applyNumberFormat="1" applyFont="1" applyFill="1" applyBorder="1" applyAlignment="1">
      <alignment horizontal="right" vertical="center"/>
    </xf>
    <xf numFmtId="164" fontId="19" fillId="0" borderId="5" xfId="4" applyNumberFormat="1" applyFont="1" applyFill="1" applyBorder="1" applyAlignment="1">
      <alignment vertical="center"/>
    </xf>
    <xf numFmtId="164" fontId="19" fillId="0" borderId="1" xfId="4" applyNumberFormat="1" applyFont="1" applyFill="1" applyBorder="1" applyAlignment="1">
      <alignment vertical="center"/>
    </xf>
    <xf numFmtId="164" fontId="19" fillId="0" borderId="6" xfId="4" applyNumberFormat="1" applyFont="1" applyFill="1" applyBorder="1" applyAlignment="1">
      <alignment vertical="center"/>
    </xf>
    <xf numFmtId="0" fontId="42" fillId="0" borderId="5" xfId="4" applyFont="1" applyBorder="1" applyAlignment="1">
      <alignment horizontal="right" vertical="center" wrapText="1"/>
    </xf>
    <xf numFmtId="0" fontId="42" fillId="0" borderId="1" xfId="4" applyFont="1" applyBorder="1" applyAlignment="1">
      <alignment horizontal="right" vertical="center" wrapText="1"/>
    </xf>
    <xf numFmtId="0" fontId="42" fillId="0" borderId="6" xfId="4" applyFont="1" applyBorder="1" applyAlignment="1">
      <alignment horizontal="right" vertical="center" wrapText="1"/>
    </xf>
    <xf numFmtId="164" fontId="19" fillId="0" borderId="5" xfId="4" applyNumberFormat="1" applyFont="1" applyBorder="1" applyAlignment="1">
      <alignment vertical="center"/>
    </xf>
    <xf numFmtId="164" fontId="19" fillId="0" borderId="1" xfId="4" applyNumberFormat="1" applyFont="1" applyBorder="1" applyAlignment="1">
      <alignment vertical="center"/>
    </xf>
    <xf numFmtId="164" fontId="19" fillId="0" borderId="6" xfId="4" applyNumberFormat="1" applyFont="1" applyBorder="1" applyAlignment="1">
      <alignment vertical="center"/>
    </xf>
    <xf numFmtId="0" fontId="19" fillId="0" borderId="1" xfId="4" applyFont="1" applyBorder="1" applyAlignment="1">
      <alignment vertical="top" wrapText="1"/>
    </xf>
    <xf numFmtId="164" fontId="19" fillId="0" borderId="5" xfId="4" applyNumberFormat="1" applyFont="1" applyBorder="1" applyAlignment="1">
      <alignment horizontal="right" vertical="center"/>
    </xf>
    <xf numFmtId="164" fontId="19" fillId="0" borderId="1" xfId="4" applyNumberFormat="1" applyFont="1" applyBorder="1" applyAlignment="1">
      <alignment horizontal="right" vertical="center"/>
    </xf>
    <xf numFmtId="164" fontId="19" fillId="0" borderId="6" xfId="4" applyNumberFormat="1" applyFont="1" applyBorder="1" applyAlignment="1">
      <alignment horizontal="right" vertical="center"/>
    </xf>
    <xf numFmtId="0" fontId="24" fillId="0" borderId="1" xfId="4" applyFont="1" applyFill="1" applyBorder="1" applyAlignment="1">
      <alignment horizontal="left" vertical="center" wrapText="1"/>
    </xf>
    <xf numFmtId="164" fontId="24" fillId="0" borderId="5" xfId="4" applyNumberFormat="1" applyFont="1" applyFill="1" applyBorder="1" applyAlignment="1">
      <alignment vertical="center"/>
    </xf>
    <xf numFmtId="0" fontId="47" fillId="0" borderId="1" xfId="4" applyFont="1" applyBorder="1" applyAlignment="1">
      <alignment vertical="center"/>
    </xf>
    <xf numFmtId="0" fontId="37" fillId="3" borderId="1" xfId="4" applyFont="1" applyFill="1" applyBorder="1" applyAlignment="1">
      <alignment vertical="center"/>
    </xf>
    <xf numFmtId="10" fontId="37" fillId="3" borderId="5" xfId="4" applyNumberFormat="1" applyFont="1" applyFill="1" applyBorder="1" applyAlignment="1">
      <alignment horizontal="right" vertical="center" wrapText="1"/>
    </xf>
    <xf numFmtId="10" fontId="37" fillId="3" borderId="1" xfId="4" applyNumberFormat="1" applyFont="1" applyFill="1" applyBorder="1" applyAlignment="1">
      <alignment horizontal="right" vertical="center" wrapText="1"/>
    </xf>
    <xf numFmtId="10" fontId="37" fillId="3" borderId="6" xfId="4" applyNumberFormat="1" applyFont="1" applyFill="1" applyBorder="1" applyAlignment="1">
      <alignment horizontal="right" vertical="center" wrapText="1"/>
    </xf>
    <xf numFmtId="0" fontId="49" fillId="3" borderId="1" xfId="4" applyFont="1" applyFill="1" applyBorder="1" applyAlignment="1">
      <alignment vertical="center" wrapText="1"/>
    </xf>
    <xf numFmtId="10" fontId="49" fillId="3" borderId="5" xfId="11" applyNumberFormat="1" applyFont="1" applyFill="1" applyBorder="1" applyAlignment="1">
      <alignment vertical="center"/>
    </xf>
    <xf numFmtId="10" fontId="49" fillId="3" borderId="9" xfId="11" applyNumberFormat="1" applyFont="1" applyFill="1" applyBorder="1" applyAlignment="1">
      <alignment vertical="center"/>
    </xf>
    <xf numFmtId="10" fontId="49" fillId="3" borderId="1" xfId="11" applyNumberFormat="1" applyFont="1" applyFill="1" applyBorder="1" applyAlignment="1">
      <alignment vertical="center"/>
    </xf>
    <xf numFmtId="0" fontId="50" fillId="0" borderId="0" xfId="4" applyFont="1"/>
    <xf numFmtId="0" fontId="22" fillId="2" borderId="0" xfId="0" applyNumberFormat="1" applyFont="1" applyFill="1" applyBorder="1" applyAlignment="1">
      <alignment vertical="center" wrapText="1"/>
    </xf>
    <xf numFmtId="0" fontId="11" fillId="2" borderId="0" xfId="0" applyFont="1" applyFill="1" applyBorder="1" applyAlignment="1">
      <alignment horizontal="center" vertical="center" wrapText="1"/>
    </xf>
    <xf numFmtId="0" fontId="8" fillId="0" borderId="1" xfId="0" applyFont="1" applyFill="1" applyBorder="1" applyAlignment="1">
      <alignment vertical="center"/>
    </xf>
    <xf numFmtId="164" fontId="5" fillId="0" borderId="5" xfId="0" applyNumberFormat="1" applyFont="1" applyFill="1" applyBorder="1" applyAlignment="1">
      <alignment vertical="center"/>
    </xf>
    <xf numFmtId="164" fontId="5" fillId="0" borderId="1" xfId="0" applyNumberFormat="1" applyFont="1" applyFill="1" applyBorder="1" applyAlignment="1">
      <alignment vertical="center"/>
    </xf>
    <xf numFmtId="164" fontId="5" fillId="0" borderId="6" xfId="0" applyNumberFormat="1" applyFont="1" applyFill="1" applyBorder="1" applyAlignment="1">
      <alignment vertical="center"/>
    </xf>
    <xf numFmtId="164" fontId="37" fillId="3" borderId="5" xfId="0" applyNumberFormat="1" applyFont="1" applyFill="1" applyBorder="1" applyAlignment="1">
      <alignment vertical="center"/>
    </xf>
    <xf numFmtId="164" fontId="37" fillId="3" borderId="1" xfId="0" applyNumberFormat="1" applyFont="1" applyFill="1" applyBorder="1" applyAlignment="1">
      <alignment vertical="center"/>
    </xf>
    <xf numFmtId="164" fontId="37" fillId="3" borderId="6" xfId="0" applyNumberFormat="1" applyFont="1" applyFill="1" applyBorder="1" applyAlignment="1">
      <alignment vertical="center"/>
    </xf>
    <xf numFmtId="0" fontId="8" fillId="0" borderId="0" xfId="0" applyFont="1" applyBorder="1" applyAlignment="1">
      <alignment vertical="center"/>
    </xf>
    <xf numFmtId="164" fontId="8" fillId="0" borderId="5" xfId="0" applyNumberFormat="1" applyFont="1" applyFill="1" applyBorder="1" applyAlignment="1">
      <alignment vertical="center"/>
    </xf>
    <xf numFmtId="164" fontId="8" fillId="0" borderId="1" xfId="0" applyNumberFormat="1" applyFont="1" applyFill="1" applyBorder="1" applyAlignment="1">
      <alignment vertical="center"/>
    </xf>
    <xf numFmtId="164" fontId="8" fillId="0" borderId="6" xfId="0" applyNumberFormat="1" applyFont="1" applyFill="1" applyBorder="1" applyAlignment="1">
      <alignment vertical="center"/>
    </xf>
    <xf numFmtId="0" fontId="18" fillId="0" borderId="0" xfId="0" applyFont="1" applyFill="1" applyBorder="1" applyAlignment="1">
      <alignment vertical="center"/>
    </xf>
    <xf numFmtId="0" fontId="8" fillId="0" borderId="0" xfId="0" applyFont="1" applyFill="1" applyBorder="1" applyAlignment="1">
      <alignment vertical="center"/>
    </xf>
    <xf numFmtId="3" fontId="8" fillId="0" borderId="1" xfId="0" applyNumberFormat="1" applyFont="1" applyFill="1" applyBorder="1" applyAlignment="1">
      <alignment vertical="center"/>
    </xf>
    <xf numFmtId="0" fontId="55" fillId="0" borderId="0" xfId="0" applyFont="1" applyAlignment="1">
      <alignment vertical="center"/>
    </xf>
    <xf numFmtId="0" fontId="56" fillId="0" borderId="0" xfId="0" applyFont="1"/>
    <xf numFmtId="0" fontId="43" fillId="0" borderId="2" xfId="0" applyFont="1" applyBorder="1" applyAlignment="1">
      <alignment vertical="center"/>
    </xf>
    <xf numFmtId="164" fontId="43" fillId="0" borderId="10" xfId="0" applyNumberFormat="1" applyFont="1" applyBorder="1" applyAlignment="1">
      <alignment vertical="center"/>
    </xf>
    <xf numFmtId="164" fontId="43" fillId="0" borderId="2" xfId="0" applyNumberFormat="1" applyFont="1" applyBorder="1" applyAlignment="1">
      <alignment vertical="center"/>
    </xf>
    <xf numFmtId="164" fontId="43" fillId="0" borderId="11" xfId="0" applyNumberFormat="1" applyFont="1" applyBorder="1" applyAlignment="1">
      <alignment vertical="center"/>
    </xf>
    <xf numFmtId="0" fontId="19" fillId="0" borderId="3" xfId="0" applyFont="1" applyFill="1" applyBorder="1" applyAlignment="1">
      <alignment vertical="center"/>
    </xf>
    <xf numFmtId="164" fontId="19" fillId="0" borderId="7" xfId="0" applyNumberFormat="1" applyFont="1" applyFill="1" applyBorder="1" applyAlignment="1">
      <alignment horizontal="right" vertical="center"/>
    </xf>
    <xf numFmtId="164" fontId="19" fillId="0" borderId="3" xfId="0" applyNumberFormat="1" applyFont="1" applyFill="1" applyBorder="1" applyAlignment="1">
      <alignment horizontal="right" vertical="center"/>
    </xf>
    <xf numFmtId="164" fontId="19" fillId="0" borderId="8" xfId="0" applyNumberFormat="1" applyFont="1" applyFill="1" applyBorder="1" applyAlignment="1">
      <alignment horizontal="right" vertical="center"/>
    </xf>
    <xf numFmtId="0" fontId="8" fillId="4" borderId="13" xfId="0" applyFont="1" applyFill="1" applyBorder="1" applyAlignment="1">
      <alignment vertical="center" wrapText="1"/>
    </xf>
    <xf numFmtId="164" fontId="23" fillId="4" borderId="14" xfId="0" applyNumberFormat="1" applyFont="1" applyFill="1" applyBorder="1" applyAlignment="1">
      <alignment horizontal="right" vertical="center"/>
    </xf>
    <xf numFmtId="164" fontId="23" fillId="4" borderId="13" xfId="0" applyNumberFormat="1" applyFont="1" applyFill="1" applyBorder="1" applyAlignment="1">
      <alignment horizontal="right" vertical="center"/>
    </xf>
    <xf numFmtId="164" fontId="23" fillId="4" borderId="15" xfId="0" applyNumberFormat="1" applyFont="1" applyFill="1" applyBorder="1" applyAlignment="1">
      <alignment horizontal="right" vertical="center"/>
    </xf>
    <xf numFmtId="0" fontId="57" fillId="0" borderId="1" xfId="0" applyFont="1" applyBorder="1" applyAlignment="1">
      <alignment vertical="center"/>
    </xf>
    <xf numFmtId="0" fontId="58" fillId="0" borderId="5" xfId="0" applyFont="1" applyBorder="1"/>
    <xf numFmtId="0" fontId="58" fillId="0" borderId="1" xfId="0" applyFont="1" applyBorder="1"/>
    <xf numFmtId="0" fontId="58" fillId="0" borderId="6" xfId="0" applyFont="1" applyBorder="1"/>
    <xf numFmtId="0" fontId="59" fillId="0" borderId="0" xfId="0" applyFont="1" applyAlignment="1">
      <alignment vertical="center"/>
    </xf>
    <xf numFmtId="0" fontId="58" fillId="0" borderId="0" xfId="0" applyFont="1"/>
    <xf numFmtId="164" fontId="60" fillId="0" borderId="5" xfId="0" applyNumberFormat="1" applyFont="1" applyBorder="1" applyAlignment="1">
      <alignment vertical="center"/>
    </xf>
    <xf numFmtId="164" fontId="60" fillId="0" borderId="1" xfId="0" applyNumberFormat="1" applyFont="1" applyBorder="1" applyAlignment="1">
      <alignment vertical="center"/>
    </xf>
    <xf numFmtId="164" fontId="60" fillId="0" borderId="6" xfId="0" applyNumberFormat="1" applyFont="1" applyBorder="1" applyAlignment="1">
      <alignment vertical="center"/>
    </xf>
    <xf numFmtId="0" fontId="57" fillId="0" borderId="1" xfId="4" applyFont="1" applyBorder="1" applyAlignment="1">
      <alignment vertical="center"/>
    </xf>
    <xf numFmtId="0" fontId="58" fillId="0" borderId="5" xfId="4" applyFont="1" applyBorder="1"/>
    <xf numFmtId="0" fontId="58" fillId="0" borderId="1" xfId="4" applyFont="1" applyBorder="1"/>
    <xf numFmtId="0" fontId="58" fillId="0" borderId="6" xfId="4" applyFont="1" applyBorder="1"/>
    <xf numFmtId="4" fontId="59" fillId="0" borderId="0" xfId="4" applyNumberFormat="1" applyFont="1" applyAlignment="1">
      <alignment vertical="center"/>
    </xf>
    <xf numFmtId="0" fontId="58" fillId="0" borderId="0" xfId="4" applyFont="1"/>
    <xf numFmtId="164" fontId="60" fillId="0" borderId="5" xfId="4" applyNumberFormat="1" applyFont="1" applyBorder="1" applyAlignment="1">
      <alignment vertical="center"/>
    </xf>
    <xf numFmtId="164" fontId="60" fillId="0" borderId="1" xfId="4" applyNumberFormat="1" applyFont="1" applyBorder="1" applyAlignment="1">
      <alignment vertical="center"/>
    </xf>
    <xf numFmtId="164" fontId="60" fillId="0" borderId="6" xfId="4" applyNumberFormat="1" applyFont="1" applyBorder="1" applyAlignment="1">
      <alignment vertical="center"/>
    </xf>
    <xf numFmtId="0" fontId="22" fillId="2" borderId="4"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 xfId="4" applyFont="1" applyFill="1" applyBorder="1" applyAlignment="1">
      <alignment horizontal="center" vertical="center" wrapText="1"/>
    </xf>
  </cellXfs>
  <cellStyles count="13">
    <cellStyle name="˙˙˙" xfId="1"/>
    <cellStyle name="˙˙˙ 2" xfId="2"/>
    <cellStyle name="Normalny" xfId="0" builtinId="0"/>
    <cellStyle name="Normalny 2" xfId="3"/>
    <cellStyle name="Normalny 2 2" xfId="4"/>
    <cellStyle name="Normalny 3" xfId="5"/>
    <cellStyle name="Normalny 3 2" xfId="6"/>
    <cellStyle name="Normalny 4" xfId="7"/>
    <cellStyle name="Normalny 4 2" xfId="9"/>
    <cellStyle name="Normalny 5" xfId="10"/>
    <cellStyle name="Procentowy" xfId="8" builtinId="5"/>
    <cellStyle name="Procentowy 2" xfId="11"/>
    <cellStyle name="Procentowy 3" xfId="12"/>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externalLinks/externalLink1.xml" Type="http://schemas.openxmlformats.org/officeDocument/2006/relationships/externalLink"/>
<Relationship Id="rId17" Target="theme/theme1.xml" Type="http://schemas.openxmlformats.org/officeDocument/2006/relationships/theme"/>
<Relationship Id="rId18" Target="styles.xml" Type="http://schemas.openxmlformats.org/officeDocument/2006/relationships/styles"/>
<Relationship Id="rId19" Target="sharedStrings.xml" Type="http://schemas.openxmlformats.org/officeDocument/2006/relationships/sharedStrings"/>
<Relationship Id="rId2" Target="worksheets/sheet2.xml" Type="http://schemas.openxmlformats.org/officeDocument/2006/relationships/worksheet"/>
<Relationship Id="rId20" Target="calcChain.xml" Type="http://schemas.openxmlformats.org/officeDocument/2006/relationships/calcChain"/>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externalLinks/_rels/externalLink1.xml.rels><?xml version="1.0" encoding="UTF-8" standalone="yes"?>
<Relationships xmlns="http://schemas.openxmlformats.org/package/2006/relationships">
<Relationship Id="rId1" Target="/Users/Karol/Downloads/2012.08.02__Wyniki%20kwartalnie%20od%202007%20roku_wersja%20do%20wpisywania_uzup%20Q2%202012.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ZiS"/>
      <sheetName val="RZiS Segment korporacyjny"/>
      <sheetName val="RZiS Segment detaliczny"/>
      <sheetName val="Bilans"/>
      <sheetName val="Kluczowe informacje"/>
      <sheetName val="Wynik z tytułu odsetek"/>
      <sheetName val="Wynik z tytułu prowizji"/>
      <sheetName val="Wynik tradingowy i z inwestycji"/>
      <sheetName val="Kredyty udzielone klientom"/>
      <sheetName val="Jakość portfela"/>
      <sheetName val="Aktywa finansowe"/>
      <sheetName val="Zobowiązania wobec klientów"/>
      <sheetName val="Współcz wypł_GRUPA"/>
      <sheetName val="Współcz wypł_SOLO"/>
      <sheetName val="Pozostałe informacje"/>
    </sheetNames>
    <sheetDataSet>
      <sheetData sheetId="0">
        <row r="4">
          <cell r="B4">
            <v>556</v>
          </cell>
          <cell r="C4">
            <v>586.00000000000011</v>
          </cell>
          <cell r="D4">
            <v>618.29999999999995</v>
          </cell>
          <cell r="E4">
            <v>673.3</v>
          </cell>
          <cell r="F4">
            <v>750.5</v>
          </cell>
          <cell r="G4">
            <v>855.3</v>
          </cell>
          <cell r="H4">
            <v>910.1</v>
          </cell>
          <cell r="I4">
            <v>982.8</v>
          </cell>
          <cell r="J4">
            <v>860.8</v>
          </cell>
          <cell r="K4">
            <v>773.3</v>
          </cell>
          <cell r="L4">
            <v>732.1</v>
          </cell>
          <cell r="M4">
            <v>711.5</v>
          </cell>
          <cell r="N4">
            <v>726.8</v>
          </cell>
          <cell r="O4">
            <v>723.1</v>
          </cell>
          <cell r="P4">
            <v>747.3</v>
          </cell>
          <cell r="Q4">
            <v>751.5</v>
          </cell>
          <cell r="R4">
            <v>772.6</v>
          </cell>
          <cell r="S4">
            <v>833.6</v>
          </cell>
          <cell r="T4">
            <v>882.3</v>
          </cell>
          <cell r="U4">
            <v>897</v>
          </cell>
          <cell r="V4">
            <v>945.2</v>
          </cell>
          <cell r="W4">
            <v>945.2</v>
          </cell>
        </row>
        <row r="5">
          <cell r="B5">
            <v>319.90000000000003</v>
          </cell>
          <cell r="C5">
            <v>339.1</v>
          </cell>
          <cell r="D5">
            <v>363.7</v>
          </cell>
          <cell r="E5">
            <v>410.09999999999997</v>
          </cell>
          <cell r="F5">
            <v>467.1</v>
          </cell>
          <cell r="G5">
            <v>539.5</v>
          </cell>
          <cell r="H5">
            <v>589.20000000000005</v>
          </cell>
          <cell r="I5">
            <v>650.29999999999995</v>
          </cell>
          <cell r="J5">
            <v>549.70000000000005</v>
          </cell>
          <cell r="K5">
            <v>414.3</v>
          </cell>
          <cell r="L5">
            <v>354.1</v>
          </cell>
          <cell r="M5">
            <v>357.1</v>
          </cell>
          <cell r="N5">
            <v>336.4</v>
          </cell>
          <cell r="O5">
            <v>317.8</v>
          </cell>
          <cell r="P5">
            <v>337.1</v>
          </cell>
          <cell r="Q5">
            <v>329.8</v>
          </cell>
          <cell r="R5">
            <v>337.7</v>
          </cell>
          <cell r="S5">
            <v>374.1</v>
          </cell>
          <cell r="T5">
            <v>404.9</v>
          </cell>
          <cell r="U5">
            <v>417.3</v>
          </cell>
          <cell r="V5">
            <v>431.7</v>
          </cell>
          <cell r="W5">
            <v>431.1</v>
          </cell>
        </row>
        <row r="6">
          <cell r="B6">
            <v>236.09999999999997</v>
          </cell>
          <cell r="C6">
            <v>246.90000000000009</v>
          </cell>
          <cell r="D6">
            <v>254.59999999999997</v>
          </cell>
          <cell r="E6">
            <v>263.2</v>
          </cell>
          <cell r="F6">
            <v>283.39999999999998</v>
          </cell>
          <cell r="G6">
            <v>315.79999999999995</v>
          </cell>
          <cell r="H6">
            <v>320.89999999999998</v>
          </cell>
          <cell r="I6">
            <v>332.5</v>
          </cell>
          <cell r="J6">
            <v>311.09999999999991</v>
          </cell>
          <cell r="K6">
            <v>358.99999999999994</v>
          </cell>
          <cell r="L6">
            <v>378</v>
          </cell>
          <cell r="M6">
            <v>354.4</v>
          </cell>
          <cell r="N6">
            <v>390.4</v>
          </cell>
          <cell r="O6">
            <v>405.3</v>
          </cell>
          <cell r="P6">
            <v>410.19999999999993</v>
          </cell>
          <cell r="Q6">
            <v>421.7</v>
          </cell>
          <cell r="R6">
            <v>434.90000000000003</v>
          </cell>
          <cell r="S6">
            <v>459.5</v>
          </cell>
          <cell r="T6">
            <v>477.4</v>
          </cell>
          <cell r="U6">
            <v>479.7</v>
          </cell>
          <cell r="V6">
            <v>513.5</v>
          </cell>
          <cell r="W6">
            <v>514.1</v>
          </cell>
        </row>
        <row r="7">
          <cell r="B7">
            <v>239</v>
          </cell>
          <cell r="C7">
            <v>248.50000000000003</v>
          </cell>
          <cell r="D7">
            <v>251.8</v>
          </cell>
          <cell r="E7">
            <v>241.49999999999997</v>
          </cell>
          <cell r="F7">
            <v>228.79999999999998</v>
          </cell>
          <cell r="G7">
            <v>235.70000000000002</v>
          </cell>
          <cell r="H7">
            <v>244.7</v>
          </cell>
          <cell r="I7">
            <v>268.5</v>
          </cell>
          <cell r="J7">
            <v>256.10000000000002</v>
          </cell>
          <cell r="K7">
            <v>275.3</v>
          </cell>
          <cell r="L7">
            <v>278</v>
          </cell>
          <cell r="M7">
            <v>275.7</v>
          </cell>
          <cell r="N7">
            <v>264.10000000000002</v>
          </cell>
          <cell r="O7">
            <v>277.60000000000002</v>
          </cell>
          <cell r="P7">
            <v>287.2</v>
          </cell>
          <cell r="Q7">
            <v>288.2</v>
          </cell>
          <cell r="R7">
            <v>285.89999999999998</v>
          </cell>
          <cell r="S7">
            <v>295.7</v>
          </cell>
          <cell r="T7">
            <v>297.7</v>
          </cell>
          <cell r="U7">
            <v>290.8</v>
          </cell>
          <cell r="V7">
            <v>280.7</v>
          </cell>
          <cell r="W7">
            <v>285.39999999999998</v>
          </cell>
        </row>
        <row r="8">
          <cell r="B8">
            <v>16.7</v>
          </cell>
          <cell r="C8">
            <v>15.2</v>
          </cell>
          <cell r="D8">
            <v>21.1</v>
          </cell>
          <cell r="E8">
            <v>29</v>
          </cell>
          <cell r="F8">
            <v>22.1</v>
          </cell>
          <cell r="G8">
            <v>19.899999999999999</v>
          </cell>
          <cell r="H8">
            <v>16.399999999999999</v>
          </cell>
          <cell r="I8">
            <v>29.6</v>
          </cell>
          <cell r="J8">
            <v>22.1</v>
          </cell>
          <cell r="K8">
            <v>25.4</v>
          </cell>
          <cell r="L8">
            <v>25</v>
          </cell>
          <cell r="M8">
            <v>48.2</v>
          </cell>
          <cell r="N8">
            <v>35.6</v>
          </cell>
          <cell r="O8">
            <v>30.7</v>
          </cell>
          <cell r="P8">
            <v>31.6</v>
          </cell>
          <cell r="Q8">
            <v>31.9</v>
          </cell>
          <cell r="R8">
            <v>34.5</v>
          </cell>
          <cell r="S8">
            <v>37.299999999999997</v>
          </cell>
          <cell r="T8">
            <v>36.299999999999997</v>
          </cell>
          <cell r="U8">
            <v>40.799999999999997</v>
          </cell>
          <cell r="V8">
            <v>33.700000000000003</v>
          </cell>
          <cell r="W8">
            <v>35</v>
          </cell>
        </row>
        <row r="9">
          <cell r="B9">
            <v>222.3</v>
          </cell>
          <cell r="C9">
            <v>233.30000000000004</v>
          </cell>
          <cell r="D9">
            <v>230.70000000000002</v>
          </cell>
          <cell r="E9">
            <v>212.49999999999997</v>
          </cell>
          <cell r="F9">
            <v>206.7</v>
          </cell>
          <cell r="G9">
            <v>215.8</v>
          </cell>
          <cell r="H9">
            <v>228.29999999999998</v>
          </cell>
          <cell r="I9">
            <v>238.9</v>
          </cell>
          <cell r="J9">
            <v>234.00000000000003</v>
          </cell>
          <cell r="K9">
            <v>249.9</v>
          </cell>
          <cell r="L9">
            <v>253</v>
          </cell>
          <cell r="M9">
            <v>227.5</v>
          </cell>
          <cell r="N9">
            <v>228.50000000000003</v>
          </cell>
          <cell r="O9">
            <v>246.90000000000003</v>
          </cell>
          <cell r="P9">
            <v>255.6</v>
          </cell>
          <cell r="Q9">
            <v>256.3</v>
          </cell>
          <cell r="R9">
            <v>251.39999999999998</v>
          </cell>
          <cell r="S9">
            <v>258.39999999999998</v>
          </cell>
          <cell r="T9">
            <v>261.39999999999998</v>
          </cell>
          <cell r="U9">
            <v>250</v>
          </cell>
          <cell r="V9">
            <v>247</v>
          </cell>
          <cell r="W9">
            <v>250.39999999999998</v>
          </cell>
        </row>
        <row r="10">
          <cell r="B10">
            <v>37.799999999999997</v>
          </cell>
          <cell r="C10">
            <v>17.400000000000006</v>
          </cell>
          <cell r="D10">
            <v>36.299999999999997</v>
          </cell>
          <cell r="E10">
            <v>-8.4999999999999716</v>
          </cell>
          <cell r="F10">
            <v>72.5</v>
          </cell>
          <cell r="G10">
            <v>64.8</v>
          </cell>
          <cell r="H10">
            <v>53.4</v>
          </cell>
          <cell r="I10">
            <v>-307.89999999999998</v>
          </cell>
          <cell r="J10">
            <v>-24</v>
          </cell>
          <cell r="K10">
            <v>43.6</v>
          </cell>
          <cell r="L10">
            <v>58.8</v>
          </cell>
          <cell r="M10">
            <v>19.5</v>
          </cell>
          <cell r="N10">
            <v>28.5</v>
          </cell>
          <cell r="O10">
            <v>22.8</v>
          </cell>
          <cell r="P10">
            <v>24.4</v>
          </cell>
          <cell r="Q10">
            <v>1.8</v>
          </cell>
          <cell r="R10">
            <v>26.8</v>
          </cell>
          <cell r="S10">
            <v>11.4</v>
          </cell>
          <cell r="T10">
            <v>-8.1</v>
          </cell>
          <cell r="U10">
            <v>-11.8</v>
          </cell>
          <cell r="V10">
            <v>53.7</v>
          </cell>
          <cell r="W10">
            <v>12.3</v>
          </cell>
        </row>
        <row r="11">
          <cell r="B11">
            <v>16.899999999999999</v>
          </cell>
          <cell r="C11">
            <v>6.1</v>
          </cell>
          <cell r="D11">
            <v>1.9</v>
          </cell>
          <cell r="E11">
            <v>0.1</v>
          </cell>
          <cell r="F11">
            <v>0.1</v>
          </cell>
          <cell r="G11">
            <v>24.1</v>
          </cell>
          <cell r="H11">
            <v>-0.3</v>
          </cell>
          <cell r="I11">
            <v>6.9</v>
          </cell>
          <cell r="J11">
            <v>0.3</v>
          </cell>
          <cell r="K11">
            <v>8.3000000000000007</v>
          </cell>
          <cell r="L11">
            <v>5.4</v>
          </cell>
          <cell r="M11">
            <v>-10.7</v>
          </cell>
          <cell r="N11">
            <v>4</v>
          </cell>
          <cell r="O11">
            <v>3</v>
          </cell>
          <cell r="P11">
            <v>0.8</v>
          </cell>
          <cell r="Q11">
            <v>-5.6</v>
          </cell>
          <cell r="R11">
            <v>18.2</v>
          </cell>
          <cell r="S11">
            <v>6.2</v>
          </cell>
          <cell r="T11">
            <v>7.7</v>
          </cell>
          <cell r="U11">
            <v>5.9</v>
          </cell>
          <cell r="V11">
            <v>19.100000000000001</v>
          </cell>
          <cell r="W11">
            <v>6.6</v>
          </cell>
        </row>
        <row r="12">
          <cell r="B12">
            <v>0</v>
          </cell>
          <cell r="C12">
            <v>-0.19999999999999996</v>
          </cell>
          <cell r="D12">
            <v>1.6</v>
          </cell>
          <cell r="E12">
            <v>-0.59999999999999964</v>
          </cell>
          <cell r="F12">
            <v>0.7</v>
          </cell>
          <cell r="G12">
            <v>-0.7</v>
          </cell>
          <cell r="H12">
            <v>2.7</v>
          </cell>
          <cell r="I12">
            <v>1.9</v>
          </cell>
          <cell r="J12">
            <v>17.899999999999999</v>
          </cell>
          <cell r="K12">
            <v>6</v>
          </cell>
          <cell r="L12">
            <v>-6.7</v>
          </cell>
          <cell r="M12">
            <v>2.9</v>
          </cell>
          <cell r="N12">
            <v>-6.9</v>
          </cell>
          <cell r="O12">
            <v>-15.3</v>
          </cell>
          <cell r="P12">
            <v>-7.9</v>
          </cell>
          <cell r="Q12">
            <v>18</v>
          </cell>
          <cell r="R12">
            <v>-16.3</v>
          </cell>
          <cell r="S12">
            <v>-3.2</v>
          </cell>
          <cell r="T12">
            <v>-23.6</v>
          </cell>
          <cell r="U12">
            <v>9.6999999999999993</v>
          </cell>
          <cell r="V12">
            <v>1.7</v>
          </cell>
          <cell r="W12">
            <v>-5.2</v>
          </cell>
        </row>
        <row r="13">
          <cell r="B13">
            <v>12.7</v>
          </cell>
          <cell r="C13">
            <v>6.8</v>
          </cell>
          <cell r="D13">
            <v>6.6</v>
          </cell>
          <cell r="E13">
            <v>-5.2</v>
          </cell>
          <cell r="F13">
            <v>6.5</v>
          </cell>
          <cell r="G13">
            <v>-9.5</v>
          </cell>
          <cell r="H13">
            <v>1</v>
          </cell>
          <cell r="I13">
            <v>21</v>
          </cell>
          <cell r="J13">
            <v>7.9</v>
          </cell>
          <cell r="K13">
            <v>2.7</v>
          </cell>
          <cell r="L13">
            <v>5.4</v>
          </cell>
          <cell r="M13">
            <v>-24.1</v>
          </cell>
          <cell r="N13">
            <v>6.3</v>
          </cell>
          <cell r="O13">
            <v>5</v>
          </cell>
          <cell r="P13">
            <v>6.5</v>
          </cell>
          <cell r="Q13">
            <v>-9.9</v>
          </cell>
          <cell r="R13">
            <v>7.8</v>
          </cell>
          <cell r="S13">
            <v>4.9000000000000004</v>
          </cell>
          <cell r="T13">
            <v>2.7</v>
          </cell>
          <cell r="U13">
            <v>1.4</v>
          </cell>
          <cell r="V13">
            <v>4</v>
          </cell>
          <cell r="W13">
            <v>3.1</v>
          </cell>
        </row>
        <row r="14">
          <cell r="B14">
            <v>525.80000000000007</v>
          </cell>
          <cell r="C14">
            <v>510.30000000000018</v>
          </cell>
          <cell r="D14">
            <v>531.69999999999993</v>
          </cell>
          <cell r="E14">
            <v>461.49999999999994</v>
          </cell>
          <cell r="F14">
            <v>569.9</v>
          </cell>
          <cell r="G14">
            <v>610.29999999999984</v>
          </cell>
          <cell r="H14">
            <v>606</v>
          </cell>
          <cell r="I14">
            <v>293.29999999999995</v>
          </cell>
          <cell r="J14">
            <v>547.19999999999982</v>
          </cell>
          <cell r="K14">
            <v>669.5</v>
          </cell>
          <cell r="L14">
            <v>693.89999999999986</v>
          </cell>
          <cell r="M14">
            <v>569.49999999999989</v>
          </cell>
          <cell r="N14">
            <v>650.79999999999995</v>
          </cell>
          <cell r="O14">
            <v>667.7</v>
          </cell>
          <cell r="P14">
            <v>689.59999999999991</v>
          </cell>
          <cell r="Q14">
            <v>682.3</v>
          </cell>
          <cell r="R14">
            <v>722.8</v>
          </cell>
          <cell r="S14">
            <v>737.19999999999993</v>
          </cell>
          <cell r="T14">
            <v>717.5</v>
          </cell>
          <cell r="U14">
            <v>734.90000000000009</v>
          </cell>
          <cell r="V14">
            <v>839.00000000000011</v>
          </cell>
          <cell r="W14">
            <v>781.3</v>
          </cell>
        </row>
        <row r="15">
          <cell r="B15">
            <v>334.4</v>
          </cell>
          <cell r="C15">
            <v>342.29999999999995</v>
          </cell>
          <cell r="D15">
            <v>354.9</v>
          </cell>
          <cell r="E15">
            <v>349</v>
          </cell>
          <cell r="F15">
            <v>364.4</v>
          </cell>
          <cell r="G15">
            <v>385.29999999999995</v>
          </cell>
          <cell r="H15">
            <v>402.7</v>
          </cell>
          <cell r="I15">
            <v>354.5</v>
          </cell>
          <cell r="J15">
            <v>361.7</v>
          </cell>
          <cell r="K15">
            <v>383.8</v>
          </cell>
          <cell r="L15">
            <v>393</v>
          </cell>
          <cell r="M15">
            <v>349.3</v>
          </cell>
          <cell r="N15">
            <v>394</v>
          </cell>
          <cell r="O15">
            <v>403.5</v>
          </cell>
          <cell r="P15">
            <v>395.4</v>
          </cell>
          <cell r="Q15">
            <v>390</v>
          </cell>
          <cell r="R15">
            <v>408.70000000000005</v>
          </cell>
          <cell r="S15">
            <v>419.8</v>
          </cell>
          <cell r="T15">
            <v>421.9</v>
          </cell>
          <cell r="U15">
            <v>414</v>
          </cell>
          <cell r="V15">
            <v>464.90000000000003</v>
          </cell>
          <cell r="W15">
            <v>456.3</v>
          </cell>
        </row>
        <row r="16">
          <cell r="B16">
            <v>154.6</v>
          </cell>
          <cell r="C16">
            <v>168.2</v>
          </cell>
          <cell r="D16">
            <v>174.5</v>
          </cell>
          <cell r="E16">
            <v>194.3</v>
          </cell>
          <cell r="F16">
            <v>180.1</v>
          </cell>
          <cell r="G16">
            <v>182.2</v>
          </cell>
          <cell r="H16">
            <v>208.5</v>
          </cell>
          <cell r="I16">
            <v>200.7</v>
          </cell>
          <cell r="J16">
            <v>153</v>
          </cell>
          <cell r="K16">
            <v>180.9</v>
          </cell>
          <cell r="L16">
            <v>178.7</v>
          </cell>
          <cell r="M16">
            <v>204.5</v>
          </cell>
          <cell r="N16">
            <v>178.6</v>
          </cell>
          <cell r="O16">
            <v>185.4</v>
          </cell>
          <cell r="P16">
            <v>198.7</v>
          </cell>
          <cell r="Q16">
            <v>248.4</v>
          </cell>
          <cell r="R16">
            <v>199.3</v>
          </cell>
          <cell r="S16">
            <v>208.9</v>
          </cell>
          <cell r="T16">
            <v>210.8</v>
          </cell>
          <cell r="U16">
            <v>214.3</v>
          </cell>
          <cell r="V16">
            <v>228</v>
          </cell>
          <cell r="W16">
            <v>213.1</v>
          </cell>
        </row>
        <row r="17">
          <cell r="B17">
            <v>34.6</v>
          </cell>
          <cell r="C17">
            <v>36.200000000000003</v>
          </cell>
          <cell r="D17">
            <v>35</v>
          </cell>
          <cell r="E17">
            <v>49</v>
          </cell>
          <cell r="F17">
            <v>33.299999999999997</v>
          </cell>
          <cell r="G17">
            <v>33.6</v>
          </cell>
          <cell r="H17">
            <v>34.199999999999989</v>
          </cell>
          <cell r="I17">
            <v>32.700000000000003</v>
          </cell>
          <cell r="J17">
            <v>31</v>
          </cell>
          <cell r="K17">
            <v>32</v>
          </cell>
          <cell r="L17">
            <v>29.5</v>
          </cell>
          <cell r="M17">
            <v>31.4</v>
          </cell>
          <cell r="N17">
            <v>29.1</v>
          </cell>
          <cell r="O17">
            <v>29.5</v>
          </cell>
          <cell r="P17">
            <v>30.1</v>
          </cell>
          <cell r="Q17">
            <v>32.299999999999997</v>
          </cell>
          <cell r="R17">
            <v>30.5</v>
          </cell>
          <cell r="S17">
            <v>31.9</v>
          </cell>
          <cell r="T17">
            <v>34</v>
          </cell>
          <cell r="U17">
            <v>36.200000000000003</v>
          </cell>
          <cell r="V17">
            <v>33.6</v>
          </cell>
          <cell r="W17">
            <v>34.700000000000003</v>
          </cell>
        </row>
        <row r="18">
          <cell r="B18">
            <v>145.19999999999999</v>
          </cell>
          <cell r="C18">
            <v>137.9</v>
          </cell>
          <cell r="D18">
            <v>145.4</v>
          </cell>
          <cell r="E18">
            <v>105.7</v>
          </cell>
          <cell r="F18">
            <v>151</v>
          </cell>
          <cell r="G18">
            <v>169.5</v>
          </cell>
          <cell r="H18">
            <v>160</v>
          </cell>
          <cell r="I18">
            <v>121.1</v>
          </cell>
          <cell r="J18">
            <v>177.7</v>
          </cell>
          <cell r="K18">
            <v>170.9</v>
          </cell>
          <cell r="L18">
            <v>184.8</v>
          </cell>
          <cell r="M18">
            <v>113.39999999999999</v>
          </cell>
          <cell r="N18">
            <v>186.3</v>
          </cell>
          <cell r="O18">
            <v>188.6</v>
          </cell>
          <cell r="P18">
            <v>166.6</v>
          </cell>
          <cell r="Q18">
            <v>109.3</v>
          </cell>
          <cell r="R18">
            <v>178.9</v>
          </cell>
          <cell r="S18">
            <v>179</v>
          </cell>
          <cell r="T18">
            <v>177.1</v>
          </cell>
          <cell r="U18">
            <v>163.5</v>
          </cell>
          <cell r="V18">
            <v>203.3</v>
          </cell>
          <cell r="W18">
            <v>208.5</v>
          </cell>
        </row>
        <row r="19">
          <cell r="B19">
            <v>-0.7</v>
          </cell>
          <cell r="C19">
            <v>-1.7</v>
          </cell>
          <cell r="D19">
            <v>-1</v>
          </cell>
          <cell r="E19">
            <v>-5.0999999999999996</v>
          </cell>
          <cell r="F19">
            <v>-2.1</v>
          </cell>
          <cell r="G19">
            <v>-3.4</v>
          </cell>
          <cell r="H19">
            <v>-3.8</v>
          </cell>
          <cell r="I19">
            <v>17.100000000000001</v>
          </cell>
          <cell r="J19">
            <v>-1</v>
          </cell>
          <cell r="K19">
            <v>1.3</v>
          </cell>
          <cell r="L19">
            <v>-0.2</v>
          </cell>
          <cell r="M19">
            <v>-1.8</v>
          </cell>
          <cell r="N19">
            <v>3.5</v>
          </cell>
          <cell r="O19">
            <v>0.3</v>
          </cell>
          <cell r="P19">
            <v>-12.3</v>
          </cell>
          <cell r="Q19">
            <v>-2.5</v>
          </cell>
          <cell r="R19">
            <v>0.4</v>
          </cell>
          <cell r="S19">
            <v>-2.9</v>
          </cell>
          <cell r="T19">
            <v>-0.1</v>
          </cell>
          <cell r="U19">
            <v>3.4</v>
          </cell>
          <cell r="V19">
            <v>1</v>
          </cell>
          <cell r="W19">
            <v>2.2999999999999998</v>
          </cell>
        </row>
        <row r="20">
          <cell r="B20">
            <v>-6.3</v>
          </cell>
          <cell r="C20">
            <v>-26.7</v>
          </cell>
          <cell r="D20">
            <v>-64.400000000000006</v>
          </cell>
          <cell r="E20">
            <v>-5.8</v>
          </cell>
          <cell r="F20">
            <v>0.7</v>
          </cell>
          <cell r="G20">
            <v>-58.8</v>
          </cell>
          <cell r="H20">
            <v>7.2</v>
          </cell>
          <cell r="I20">
            <v>116.5</v>
          </cell>
          <cell r="J20">
            <v>91.7</v>
          </cell>
          <cell r="K20">
            <v>73.8</v>
          </cell>
          <cell r="L20">
            <v>54.1</v>
          </cell>
          <cell r="M20">
            <v>84.8</v>
          </cell>
          <cell r="N20">
            <v>48.1</v>
          </cell>
          <cell r="O20">
            <v>39.200000000000003</v>
          </cell>
          <cell r="P20">
            <v>55.1</v>
          </cell>
          <cell r="Q20">
            <v>61.2</v>
          </cell>
          <cell r="R20">
            <v>57.1</v>
          </cell>
          <cell r="S20">
            <v>37.700000000000003</v>
          </cell>
          <cell r="T20">
            <v>27.1</v>
          </cell>
          <cell r="U20">
            <v>50.5</v>
          </cell>
          <cell r="V20">
            <v>64.3</v>
          </cell>
          <cell r="W20">
            <v>131.19999999999999</v>
          </cell>
        </row>
        <row r="21">
          <cell r="B21">
            <v>12.4</v>
          </cell>
          <cell r="C21">
            <v>10.9</v>
          </cell>
          <cell r="D21">
            <v>9.6</v>
          </cell>
          <cell r="E21">
            <v>10.7</v>
          </cell>
          <cell r="F21">
            <v>11.6</v>
          </cell>
          <cell r="G21">
            <v>14.2</v>
          </cell>
          <cell r="H21">
            <v>13</v>
          </cell>
          <cell r="I21">
            <v>9.4</v>
          </cell>
          <cell r="J21">
            <v>10.1</v>
          </cell>
          <cell r="K21">
            <v>15.5</v>
          </cell>
          <cell r="L21">
            <v>10.4</v>
          </cell>
          <cell r="M21">
            <v>16.100000000000001</v>
          </cell>
          <cell r="N21">
            <v>7.3</v>
          </cell>
          <cell r="O21">
            <v>10.9</v>
          </cell>
          <cell r="P21">
            <v>10.6</v>
          </cell>
          <cell r="Q21">
            <v>12.4</v>
          </cell>
          <cell r="R21">
            <v>9.6999999999999993</v>
          </cell>
          <cell r="S21">
            <v>13.2</v>
          </cell>
          <cell r="T21">
            <v>8.1999999999999993</v>
          </cell>
          <cell r="U21">
            <v>10.1</v>
          </cell>
          <cell r="V21">
            <v>6.8</v>
          </cell>
          <cell r="W21">
            <v>11.2</v>
          </cell>
        </row>
        <row r="22">
          <cell r="B22">
            <v>209.40000000000012</v>
          </cell>
          <cell r="C22">
            <v>203.90000000000023</v>
          </cell>
          <cell r="D22">
            <v>249.79999999999995</v>
          </cell>
          <cell r="E22">
            <v>123.89999999999995</v>
          </cell>
          <cell r="F22">
            <v>214.3</v>
          </cell>
          <cell r="G22">
            <v>294.59999999999985</v>
          </cell>
          <cell r="H22">
            <v>205.3</v>
          </cell>
          <cell r="I22">
            <v>-151.20000000000005</v>
          </cell>
          <cell r="J22">
            <v>102.89999999999982</v>
          </cell>
          <cell r="K22">
            <v>228.7</v>
          </cell>
          <cell r="L22">
            <v>256.99999999999989</v>
          </cell>
          <cell r="M22">
            <v>149.69999999999985</v>
          </cell>
          <cell r="N22">
            <v>219.49999999999997</v>
          </cell>
          <cell r="O22">
            <v>236.20000000000007</v>
          </cell>
          <cell r="P22">
            <v>237.39999999999992</v>
          </cell>
          <cell r="Q22">
            <v>240.99999999999997</v>
          </cell>
          <cell r="R22">
            <v>267.09999999999985</v>
          </cell>
          <cell r="S22">
            <v>289.99999999999994</v>
          </cell>
          <cell r="T22">
            <v>276.59999999999997</v>
          </cell>
          <cell r="U22">
            <v>283.90000000000009</v>
          </cell>
          <cell r="V22">
            <v>317.60000000000008</v>
          </cell>
          <cell r="W22">
            <v>207.29999999999995</v>
          </cell>
        </row>
        <row r="25">
          <cell r="B25">
            <v>167.40000000000012</v>
          </cell>
          <cell r="C25">
            <v>167.80000000000024</v>
          </cell>
          <cell r="D25">
            <v>197.99999999999994</v>
          </cell>
          <cell r="E25">
            <v>97.499999999999943</v>
          </cell>
          <cell r="F25">
            <v>173.8</v>
          </cell>
          <cell r="G25">
            <v>233.69999999999985</v>
          </cell>
          <cell r="H25">
            <v>166.9</v>
          </cell>
          <cell r="I25">
            <v>-129.00000000000006</v>
          </cell>
          <cell r="J25">
            <v>80.799999999999812</v>
          </cell>
          <cell r="K25">
            <v>182.7</v>
          </cell>
          <cell r="L25">
            <v>210.7999999999999</v>
          </cell>
          <cell r="M25">
            <v>120.79999999999984</v>
          </cell>
          <cell r="N25">
            <v>177.49999999999997</v>
          </cell>
          <cell r="O25">
            <v>191.50000000000006</v>
          </cell>
          <cell r="P25">
            <v>192.39999999999992</v>
          </cell>
          <cell r="Q25">
            <v>191.7</v>
          </cell>
          <cell r="R25">
            <v>212.49999999999986</v>
          </cell>
          <cell r="S25">
            <v>233.89999999999995</v>
          </cell>
          <cell r="T25">
            <v>220.09999999999997</v>
          </cell>
          <cell r="U25">
            <v>213.60000000000008</v>
          </cell>
          <cell r="V25">
            <v>271.50000000000006</v>
          </cell>
          <cell r="W25">
            <v>167.59999999999997</v>
          </cell>
        </row>
      </sheetData>
      <sheetData sheetId="1"/>
      <sheetData sheetId="2">
        <row r="34">
          <cell r="B34">
            <v>138</v>
          </cell>
          <cell r="C34">
            <v>144.30000000000001</v>
          </cell>
          <cell r="D34">
            <v>148.80000000000001</v>
          </cell>
          <cell r="E34">
            <v>153.80000000000001</v>
          </cell>
          <cell r="F34">
            <v>154.30000000000001</v>
          </cell>
          <cell r="G34">
            <v>146</v>
          </cell>
          <cell r="H34">
            <v>170.6</v>
          </cell>
          <cell r="I34">
            <v>112</v>
          </cell>
          <cell r="J34">
            <v>123</v>
          </cell>
          <cell r="K34">
            <v>213</v>
          </cell>
          <cell r="L34">
            <v>153.1</v>
          </cell>
          <cell r="M34">
            <v>153</v>
          </cell>
          <cell r="N34">
            <v>178</v>
          </cell>
          <cell r="O34">
            <v>202.2</v>
          </cell>
          <cell r="P34">
            <v>199.1</v>
          </cell>
          <cell r="Q34">
            <v>236.5</v>
          </cell>
          <cell r="R34">
            <v>238.3</v>
          </cell>
          <cell r="S34">
            <v>245.8</v>
          </cell>
          <cell r="T34">
            <v>227.5</v>
          </cell>
          <cell r="U34">
            <v>244.5</v>
          </cell>
          <cell r="V34">
            <v>250.8</v>
          </cell>
          <cell r="W34">
            <v>248.4</v>
          </cell>
        </row>
        <row r="35">
          <cell r="B35">
            <v>129.9</v>
          </cell>
          <cell r="C35">
            <v>136.30000000000001</v>
          </cell>
          <cell r="D35">
            <v>134.80000000000001</v>
          </cell>
          <cell r="E35">
            <v>124.2</v>
          </cell>
          <cell r="F35">
            <v>123.9</v>
          </cell>
          <cell r="G35">
            <v>145.80000000000001</v>
          </cell>
          <cell r="H35">
            <v>140.4</v>
          </cell>
          <cell r="I35">
            <v>189</v>
          </cell>
          <cell r="J35">
            <v>145.80000000000001</v>
          </cell>
          <cell r="K35">
            <v>148.6</v>
          </cell>
          <cell r="L35">
            <v>158.80000000000001</v>
          </cell>
          <cell r="M35">
            <v>87.4</v>
          </cell>
          <cell r="N35">
            <v>116.2</v>
          </cell>
          <cell r="O35">
            <v>158.1</v>
          </cell>
          <cell r="P35">
            <v>159.80000000000001</v>
          </cell>
          <cell r="Q35">
            <v>95.4</v>
          </cell>
          <cell r="R35">
            <v>128</v>
          </cell>
          <cell r="S35">
            <v>124.5</v>
          </cell>
          <cell r="T35">
            <v>153.30000000000001</v>
          </cell>
          <cell r="U35">
            <v>86.7</v>
          </cell>
          <cell r="V35">
            <v>114.6</v>
          </cell>
          <cell r="W35">
            <v>111.9</v>
          </cell>
        </row>
        <row r="36">
          <cell r="B36">
            <v>39.4</v>
          </cell>
          <cell r="C36">
            <v>17.600000000000001</v>
          </cell>
          <cell r="D36">
            <v>27.1</v>
          </cell>
          <cell r="E36">
            <v>-8.3000000000000007</v>
          </cell>
          <cell r="F36">
            <v>7.3</v>
          </cell>
          <cell r="G36">
            <v>46</v>
          </cell>
          <cell r="H36">
            <v>18.5</v>
          </cell>
          <cell r="I36">
            <v>-41.3</v>
          </cell>
          <cell r="J36">
            <v>18.5</v>
          </cell>
          <cell r="K36">
            <v>-24.1</v>
          </cell>
          <cell r="L36">
            <v>17.899999999999999</v>
          </cell>
          <cell r="M36">
            <v>49.4</v>
          </cell>
          <cell r="N36">
            <v>6.2</v>
          </cell>
          <cell r="O36">
            <v>-11.2</v>
          </cell>
          <cell r="P36">
            <v>0</v>
          </cell>
          <cell r="Q36">
            <v>41.3</v>
          </cell>
          <cell r="R36">
            <v>10.4</v>
          </cell>
          <cell r="S36">
            <v>15.1</v>
          </cell>
          <cell r="T36">
            <v>-11</v>
          </cell>
          <cell r="U36">
            <v>34</v>
          </cell>
          <cell r="V36">
            <v>27.6</v>
          </cell>
          <cell r="W36">
            <v>13.3</v>
          </cell>
        </row>
        <row r="37">
          <cell r="B37">
            <v>12.4</v>
          </cell>
          <cell r="C37">
            <v>10.9</v>
          </cell>
          <cell r="D37">
            <v>9.6</v>
          </cell>
          <cell r="E37">
            <v>10.7</v>
          </cell>
          <cell r="F37">
            <v>11.6</v>
          </cell>
          <cell r="G37">
            <v>14.2</v>
          </cell>
          <cell r="H37">
            <v>13</v>
          </cell>
          <cell r="I37">
            <v>9.4</v>
          </cell>
          <cell r="J37">
            <v>10.1</v>
          </cell>
          <cell r="K37">
            <v>15.5</v>
          </cell>
          <cell r="L37">
            <v>10.4</v>
          </cell>
          <cell r="M37">
            <v>16.100000000000001</v>
          </cell>
          <cell r="N37">
            <v>7.3</v>
          </cell>
          <cell r="O37">
            <v>10.9</v>
          </cell>
          <cell r="P37">
            <v>10.6</v>
          </cell>
          <cell r="Q37">
            <v>12.4</v>
          </cell>
          <cell r="R37">
            <v>9.6999999999999993</v>
          </cell>
          <cell r="S37">
            <v>13.2</v>
          </cell>
          <cell r="T37">
            <v>8.1999999999999993</v>
          </cell>
          <cell r="U37">
            <v>10.1</v>
          </cell>
          <cell r="V37">
            <v>6.8</v>
          </cell>
          <cell r="W37">
            <v>11.2</v>
          </cell>
        </row>
        <row r="39">
          <cell r="B39">
            <v>98.3</v>
          </cell>
          <cell r="C39">
            <v>106.9</v>
          </cell>
          <cell r="D39">
            <v>110.9</v>
          </cell>
          <cell r="E39">
            <v>123.5</v>
          </cell>
          <cell r="F39">
            <v>111.2</v>
          </cell>
          <cell r="G39">
            <v>112.5</v>
          </cell>
          <cell r="H39">
            <v>129</v>
          </cell>
          <cell r="I39">
            <v>122.2</v>
          </cell>
          <cell r="J39">
            <v>98.4</v>
          </cell>
          <cell r="K39">
            <v>108.8</v>
          </cell>
          <cell r="L39">
            <v>110.5</v>
          </cell>
          <cell r="M39">
            <v>121.1</v>
          </cell>
          <cell r="N39">
            <v>109.7</v>
          </cell>
          <cell r="O39">
            <v>113.8</v>
          </cell>
          <cell r="P39">
            <v>123.4</v>
          </cell>
          <cell r="Q39">
            <v>151.19999999999999</v>
          </cell>
          <cell r="R39">
            <v>121</v>
          </cell>
          <cell r="S39">
            <v>117.2</v>
          </cell>
          <cell r="T39">
            <v>138.19999999999999</v>
          </cell>
          <cell r="U39">
            <v>124.1</v>
          </cell>
          <cell r="V39">
            <v>128.69999999999999</v>
          </cell>
          <cell r="W39">
            <v>126.5</v>
          </cell>
        </row>
        <row r="40">
          <cell r="B40">
            <v>22</v>
          </cell>
          <cell r="C40">
            <v>23</v>
          </cell>
          <cell r="D40">
            <v>22.3</v>
          </cell>
          <cell r="E40">
            <v>31.2</v>
          </cell>
          <cell r="F40">
            <v>25</v>
          </cell>
          <cell r="G40">
            <v>25.6</v>
          </cell>
          <cell r="H40">
            <v>24.8</v>
          </cell>
          <cell r="I40">
            <v>24.1</v>
          </cell>
          <cell r="J40">
            <v>23.3</v>
          </cell>
          <cell r="K40">
            <v>24.3</v>
          </cell>
          <cell r="L40">
            <v>23.4</v>
          </cell>
          <cell r="M40">
            <v>23.5</v>
          </cell>
          <cell r="N40">
            <v>21.6</v>
          </cell>
          <cell r="O40">
            <v>22</v>
          </cell>
          <cell r="P40">
            <v>22.2</v>
          </cell>
          <cell r="Q40">
            <v>23.8</v>
          </cell>
          <cell r="R40">
            <v>21.8</v>
          </cell>
          <cell r="S40">
            <v>22.1</v>
          </cell>
          <cell r="T40">
            <v>24.5</v>
          </cell>
          <cell r="U40">
            <v>25</v>
          </cell>
          <cell r="V40">
            <v>24</v>
          </cell>
          <cell r="W40">
            <v>25</v>
          </cell>
        </row>
        <row r="41">
          <cell r="B41">
            <v>92.7</v>
          </cell>
          <cell r="C41">
            <v>88.5</v>
          </cell>
          <cell r="D41">
            <v>92.9</v>
          </cell>
          <cell r="E41">
            <v>69.8</v>
          </cell>
          <cell r="F41">
            <v>97.8</v>
          </cell>
          <cell r="G41">
            <v>113.1</v>
          </cell>
          <cell r="H41">
            <v>96.3</v>
          </cell>
          <cell r="I41">
            <v>81.900000000000006</v>
          </cell>
          <cell r="J41">
            <v>107.6</v>
          </cell>
          <cell r="K41">
            <v>115.1</v>
          </cell>
          <cell r="L41">
            <v>118.5</v>
          </cell>
          <cell r="M41">
            <v>88.6</v>
          </cell>
          <cell r="N41">
            <v>117.1</v>
          </cell>
          <cell r="O41">
            <v>120.9</v>
          </cell>
          <cell r="P41">
            <v>118.2</v>
          </cell>
          <cell r="Q41">
            <v>76.900000000000006</v>
          </cell>
          <cell r="R41">
            <v>108.9</v>
          </cell>
          <cell r="S41">
            <v>113</v>
          </cell>
          <cell r="T41">
            <v>118.2</v>
          </cell>
          <cell r="U41">
            <v>106.1</v>
          </cell>
          <cell r="V41">
            <v>128.5</v>
          </cell>
          <cell r="W41">
            <v>127.3</v>
          </cell>
        </row>
        <row r="43">
          <cell r="B43">
            <v>-2.4</v>
          </cell>
          <cell r="C43">
            <v>-10.4</v>
          </cell>
          <cell r="D43">
            <v>-25</v>
          </cell>
          <cell r="E43">
            <v>-2.2000000000000002</v>
          </cell>
          <cell r="F43">
            <v>-2.6</v>
          </cell>
          <cell r="G43">
            <v>6</v>
          </cell>
          <cell r="H43">
            <v>4.9000000000000004</v>
          </cell>
          <cell r="I43">
            <v>20.100000000000001</v>
          </cell>
          <cell r="J43">
            <v>12.8</v>
          </cell>
          <cell r="K43">
            <v>6.8</v>
          </cell>
          <cell r="L43">
            <v>21.4</v>
          </cell>
          <cell r="M43">
            <v>22.8</v>
          </cell>
          <cell r="N43">
            <v>21.2</v>
          </cell>
          <cell r="O43">
            <v>13</v>
          </cell>
          <cell r="P43">
            <v>21.3</v>
          </cell>
          <cell r="Q43">
            <v>25.6</v>
          </cell>
          <cell r="R43">
            <v>33.9</v>
          </cell>
          <cell r="S43">
            <v>21.2</v>
          </cell>
          <cell r="T43">
            <v>21</v>
          </cell>
          <cell r="U43">
            <v>14.1</v>
          </cell>
          <cell r="V43">
            <v>19.3</v>
          </cell>
          <cell r="W43">
            <v>25.2</v>
          </cell>
        </row>
      </sheetData>
      <sheetData sheetId="3">
        <row r="7">
          <cell r="B7">
            <v>10221.1</v>
          </cell>
          <cell r="C7">
            <v>6148.3</v>
          </cell>
          <cell r="D7">
            <v>7099.7</v>
          </cell>
          <cell r="E7">
            <v>6256.5</v>
          </cell>
          <cell r="F7">
            <v>9177.2000000000007</v>
          </cell>
          <cell r="G7">
            <v>8974.2000000000007</v>
          </cell>
          <cell r="H7">
            <v>11196.3</v>
          </cell>
          <cell r="I7">
            <v>10548.8</v>
          </cell>
          <cell r="J7">
            <v>11977.4</v>
          </cell>
          <cell r="K7">
            <v>10822.1</v>
          </cell>
          <cell r="L7">
            <v>12177.7</v>
          </cell>
          <cell r="M7">
            <v>8267.7000000000007</v>
          </cell>
          <cell r="N7">
            <v>3758.4</v>
          </cell>
          <cell r="O7">
            <v>1451.5</v>
          </cell>
          <cell r="P7">
            <v>3945.7</v>
          </cell>
          <cell r="Q7">
            <v>659.6</v>
          </cell>
          <cell r="R7">
            <v>576.9</v>
          </cell>
          <cell r="S7">
            <v>572.5</v>
          </cell>
          <cell r="T7">
            <v>1120.5</v>
          </cell>
          <cell r="U7">
            <v>639.6</v>
          </cell>
          <cell r="V7">
            <v>1425.7</v>
          </cell>
          <cell r="W7">
            <v>791.5</v>
          </cell>
        </row>
        <row r="10">
          <cell r="B10">
            <v>12001.7</v>
          </cell>
          <cell r="C10">
            <v>9593.7999999999993</v>
          </cell>
          <cell r="D10">
            <v>8529.2000000000007</v>
          </cell>
          <cell r="E10">
            <v>8547.5</v>
          </cell>
          <cell r="F10">
            <v>10159.700000000001</v>
          </cell>
          <cell r="G10">
            <v>10816.2</v>
          </cell>
          <cell r="H10">
            <v>12385.2</v>
          </cell>
          <cell r="I10">
            <v>10739.1</v>
          </cell>
          <cell r="J10">
            <v>8517.5</v>
          </cell>
          <cell r="K10">
            <v>8329.5</v>
          </cell>
          <cell r="L10">
            <v>6990.8</v>
          </cell>
          <cell r="M10">
            <v>6835.9</v>
          </cell>
          <cell r="N10">
            <v>14852.8</v>
          </cell>
          <cell r="O10">
            <v>14323.7</v>
          </cell>
          <cell r="P10">
            <v>12239.9</v>
          </cell>
          <cell r="Q10">
            <v>16788.8</v>
          </cell>
          <cell r="R10">
            <v>17266.8</v>
          </cell>
          <cell r="S10">
            <v>18998.099999999999</v>
          </cell>
          <cell r="T10">
            <v>17379.599999999999</v>
          </cell>
          <cell r="U10">
            <v>15468.4</v>
          </cell>
          <cell r="V10">
            <v>11765.1</v>
          </cell>
          <cell r="W10">
            <v>10299</v>
          </cell>
        </row>
        <row r="11">
          <cell r="B11">
            <v>0</v>
          </cell>
          <cell r="C11">
            <v>0</v>
          </cell>
          <cell r="D11">
            <v>620.70000000000005</v>
          </cell>
          <cell r="E11">
            <v>840.8</v>
          </cell>
          <cell r="F11">
            <v>3773.7</v>
          </cell>
          <cell r="G11">
            <v>6185</v>
          </cell>
          <cell r="H11">
            <v>7325.5</v>
          </cell>
          <cell r="I11">
            <v>7311.8</v>
          </cell>
          <cell r="J11">
            <v>7384.4</v>
          </cell>
          <cell r="K11">
            <v>7238.7</v>
          </cell>
          <cell r="L11">
            <v>7343.7</v>
          </cell>
          <cell r="M11">
            <v>7330.4</v>
          </cell>
          <cell r="N11">
            <v>6786.9</v>
          </cell>
          <cell r="O11">
            <v>6685</v>
          </cell>
          <cell r="P11">
            <v>6496.5</v>
          </cell>
          <cell r="Q11">
            <v>6218</v>
          </cell>
          <cell r="R11">
            <v>6307.3</v>
          </cell>
          <cell r="S11">
            <v>4949.3999999999996</v>
          </cell>
          <cell r="T11">
            <v>5016.7</v>
          </cell>
          <cell r="U11">
            <v>4982.3</v>
          </cell>
          <cell r="V11">
            <v>5054.7</v>
          </cell>
          <cell r="W11">
            <v>3518.5</v>
          </cell>
        </row>
        <row r="13">
          <cell r="B13">
            <v>13782.6</v>
          </cell>
          <cell r="C13">
            <v>14567.2</v>
          </cell>
          <cell r="D13">
            <v>15449.4</v>
          </cell>
          <cell r="E13">
            <v>16379.1</v>
          </cell>
          <cell r="F13">
            <v>18039.900000000001</v>
          </cell>
          <cell r="G13">
            <v>20372</v>
          </cell>
          <cell r="H13">
            <v>21986.799999999999</v>
          </cell>
          <cell r="I13">
            <v>25742.799999999999</v>
          </cell>
          <cell r="J13">
            <v>29040.3</v>
          </cell>
          <cell r="K13">
            <v>29268.6</v>
          </cell>
          <cell r="L13">
            <v>29050</v>
          </cell>
          <cell r="M13">
            <v>30592.799999999999</v>
          </cell>
          <cell r="N13">
            <v>30159.599999999999</v>
          </cell>
          <cell r="O13">
            <v>31781.200000000001</v>
          </cell>
          <cell r="P13">
            <v>33320.6</v>
          </cell>
          <cell r="Q13">
            <v>34509</v>
          </cell>
          <cell r="R13">
            <v>35332.400000000001</v>
          </cell>
          <cell r="S13">
            <v>37094.800000000003</v>
          </cell>
          <cell r="T13">
            <v>39789.699999999997</v>
          </cell>
          <cell r="U13">
            <v>42329.7</v>
          </cell>
          <cell r="V13">
            <v>47795.899999999994</v>
          </cell>
          <cell r="W13">
            <v>48490.6</v>
          </cell>
        </row>
        <row r="31">
          <cell r="B31">
            <v>40774.6</v>
          </cell>
          <cell r="C31">
            <v>40253.4</v>
          </cell>
          <cell r="D31">
            <v>40658.1</v>
          </cell>
          <cell r="E31">
            <v>44501.8</v>
          </cell>
          <cell r="F31">
            <v>45311.8</v>
          </cell>
          <cell r="G31">
            <v>47591</v>
          </cell>
          <cell r="H31">
            <v>51269</v>
          </cell>
          <cell r="I31">
            <v>47066.9</v>
          </cell>
          <cell r="J31">
            <v>46461.8</v>
          </cell>
          <cell r="K31">
            <v>45732.4</v>
          </cell>
          <cell r="L31">
            <v>46480.800000000003</v>
          </cell>
          <cell r="M31">
            <v>47584.7</v>
          </cell>
          <cell r="N31">
            <v>46184.2</v>
          </cell>
          <cell r="O31">
            <v>45954.2</v>
          </cell>
          <cell r="P31">
            <v>47667.9</v>
          </cell>
          <cell r="Q31">
            <v>47400.1</v>
          </cell>
          <cell r="R31">
            <v>46462</v>
          </cell>
          <cell r="S31">
            <v>48286.1</v>
          </cell>
          <cell r="T31">
            <v>50758.7</v>
          </cell>
          <cell r="U31">
            <v>52932.099999999991</v>
          </cell>
          <cell r="V31">
            <v>52439.899999999994</v>
          </cell>
          <cell r="W31">
            <v>54157.000000000007</v>
          </cell>
        </row>
        <row r="45">
          <cell r="B45">
            <v>3902.2999999999993</v>
          </cell>
          <cell r="C45">
            <v>3622</v>
          </cell>
          <cell r="D45">
            <v>3820.3999999999996</v>
          </cell>
          <cell r="E45">
            <v>3838.7999999999997</v>
          </cell>
          <cell r="F45">
            <v>4013.7</v>
          </cell>
          <cell r="G45">
            <v>3977.5999999999995</v>
          </cell>
          <cell r="H45">
            <v>4277.8999999999996</v>
          </cell>
          <cell r="I45">
            <v>4222.2</v>
          </cell>
          <cell r="J45">
            <v>4280.8999999999996</v>
          </cell>
          <cell r="K45">
            <v>4514.6000000000004</v>
          </cell>
          <cell r="L45">
            <v>4742.1000000000004</v>
          </cell>
          <cell r="M45">
            <v>4884.3999999999996</v>
          </cell>
          <cell r="N45">
            <v>5131.7</v>
          </cell>
          <cell r="O45">
            <v>5280.2</v>
          </cell>
          <cell r="P45">
            <v>5529.5</v>
          </cell>
          <cell r="Q45">
            <v>5650.7999999999993</v>
          </cell>
          <cell r="R45">
            <v>5782</v>
          </cell>
          <cell r="S45">
            <v>5951.5</v>
          </cell>
          <cell r="T45">
            <v>6194.5999999999995</v>
          </cell>
          <cell r="U45">
            <v>6413.7</v>
          </cell>
          <cell r="V45">
            <v>6751.1</v>
          </cell>
          <cell r="W45">
            <v>6978.8</v>
          </cell>
        </row>
        <row r="51">
          <cell r="B51">
            <v>56616.9</v>
          </cell>
          <cell r="C51">
            <v>53203.1</v>
          </cell>
          <cell r="D51">
            <v>53246.6</v>
          </cell>
          <cell r="E51">
            <v>52010.799999999996</v>
          </cell>
          <cell r="F51">
            <v>60234.400000000009</v>
          </cell>
          <cell r="G51">
            <v>60513.2</v>
          </cell>
          <cell r="H51">
            <v>65262.599999999991</v>
          </cell>
          <cell r="I51">
            <v>69610.5</v>
          </cell>
          <cell r="J51">
            <v>68205.8</v>
          </cell>
          <cell r="K51">
            <v>64516.5</v>
          </cell>
          <cell r="L51">
            <v>64256.4</v>
          </cell>
          <cell r="M51">
            <v>59883.399999999994</v>
          </cell>
          <cell r="N51">
            <v>62099.1</v>
          </cell>
          <cell r="O51">
            <v>61583</v>
          </cell>
          <cell r="P51">
            <v>62165.500000000007</v>
          </cell>
          <cell r="Q51">
            <v>64517.5</v>
          </cell>
          <cell r="R51">
            <v>65839.8</v>
          </cell>
          <cell r="S51">
            <v>67500.899999999994</v>
          </cell>
          <cell r="T51">
            <v>73696.099999999991</v>
          </cell>
          <cell r="U51">
            <v>69723.399999999994</v>
          </cell>
          <cell r="V51">
            <v>72263.099999999991</v>
          </cell>
          <cell r="W51">
            <v>70260.100000000006</v>
          </cell>
        </row>
      </sheetData>
      <sheetData sheetId="4"/>
      <sheetData sheetId="5"/>
      <sheetData sheetId="6"/>
      <sheetData sheetId="7"/>
      <sheetData sheetId="8">
        <row r="4">
          <cell r="B4">
            <v>14102.2</v>
          </cell>
          <cell r="C4">
            <v>14839.2</v>
          </cell>
          <cell r="D4">
            <v>15680.999999999998</v>
          </cell>
          <cell r="E4">
            <v>16642.399999999998</v>
          </cell>
          <cell r="F4">
            <v>18307.5</v>
          </cell>
          <cell r="G4">
            <v>19662.900000000001</v>
          </cell>
          <cell r="H4">
            <v>21911.9</v>
          </cell>
          <cell r="I4">
            <v>23490.5</v>
          </cell>
          <cell r="J4">
            <v>24706.100000000002</v>
          </cell>
          <cell r="K4">
            <v>24904</v>
          </cell>
          <cell r="L4">
            <v>25418.399999999998</v>
          </cell>
          <cell r="M4">
            <v>26540.399999999998</v>
          </cell>
          <cell r="N4">
            <v>26775.300000000003</v>
          </cell>
          <cell r="O4">
            <v>28108.9</v>
          </cell>
          <cell r="P4">
            <v>29478.7</v>
          </cell>
          <cell r="Q4">
            <v>30875.5</v>
          </cell>
          <cell r="R4">
            <v>31757.199999999997</v>
          </cell>
          <cell r="S4">
            <v>33487.9</v>
          </cell>
          <cell r="T4">
            <v>35278.6</v>
          </cell>
          <cell r="U4">
            <v>37103.599999999999</v>
          </cell>
          <cell r="V4">
            <v>37990</v>
          </cell>
          <cell r="W4">
            <v>38680.299999999996</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3108.3</v>
          </cell>
          <cell r="W5">
            <v>3146.2</v>
          </cell>
        </row>
        <row r="6">
          <cell r="B6">
            <v>151.30000000000001</v>
          </cell>
          <cell r="C6">
            <v>150.70000000000002</v>
          </cell>
          <cell r="D6">
            <v>127.9</v>
          </cell>
          <cell r="E6">
            <v>131</v>
          </cell>
          <cell r="F6">
            <v>133.1</v>
          </cell>
          <cell r="G6">
            <v>137.9</v>
          </cell>
          <cell r="H6">
            <v>180.3</v>
          </cell>
          <cell r="I6">
            <v>167</v>
          </cell>
          <cell r="J6">
            <v>273.59999999999997</v>
          </cell>
          <cell r="K6">
            <v>255.5</v>
          </cell>
          <cell r="L6">
            <v>178.5</v>
          </cell>
          <cell r="M6">
            <v>175.6</v>
          </cell>
          <cell r="N6">
            <v>144.60000000000002</v>
          </cell>
          <cell r="O6">
            <v>173.6</v>
          </cell>
          <cell r="P6">
            <v>167.3</v>
          </cell>
          <cell r="Q6">
            <v>124.80000000000001</v>
          </cell>
          <cell r="R6">
            <v>110.5</v>
          </cell>
          <cell r="S6">
            <v>198.6</v>
          </cell>
          <cell r="T6">
            <v>283.10000000000002</v>
          </cell>
          <cell r="U6">
            <v>275.40000000000003</v>
          </cell>
          <cell r="V6">
            <v>1860.1</v>
          </cell>
          <cell r="W6">
            <v>2100.3000000000002</v>
          </cell>
        </row>
        <row r="8">
          <cell r="B8">
            <v>0</v>
          </cell>
          <cell r="C8">
            <v>0</v>
          </cell>
          <cell r="D8">
            <v>0</v>
          </cell>
          <cell r="E8">
            <v>0</v>
          </cell>
          <cell r="F8">
            <v>0</v>
          </cell>
          <cell r="G8">
            <v>0</v>
          </cell>
          <cell r="H8">
            <v>0</v>
          </cell>
          <cell r="I8">
            <v>1654</v>
          </cell>
          <cell r="J8">
            <v>3775.2</v>
          </cell>
          <cell r="K8">
            <v>3439.1</v>
          </cell>
          <cell r="L8">
            <v>3348.9</v>
          </cell>
          <cell r="M8">
            <v>3261.9</v>
          </cell>
          <cell r="N8">
            <v>3147.9</v>
          </cell>
          <cell r="O8">
            <v>3447.7</v>
          </cell>
          <cell r="P8">
            <v>3425.1</v>
          </cell>
          <cell r="Q8">
            <v>3268.5</v>
          </cell>
          <cell r="R8">
            <v>3215.6</v>
          </cell>
          <cell r="S8">
            <v>3189</v>
          </cell>
          <cell r="T8">
            <v>3786.2</v>
          </cell>
          <cell r="U8">
            <v>3872.6</v>
          </cell>
          <cell r="V8">
            <v>3680.7</v>
          </cell>
          <cell r="W8">
            <v>3758.2</v>
          </cell>
        </row>
        <row r="13">
          <cell r="B13">
            <v>-648.30000000000007</v>
          </cell>
          <cell r="C13">
            <v>-602.30000000000007</v>
          </cell>
          <cell r="D13">
            <v>-532.19999999999993</v>
          </cell>
          <cell r="E13">
            <v>-536.90000000000009</v>
          </cell>
          <cell r="F13">
            <v>-548.59999999999991</v>
          </cell>
          <cell r="G13">
            <v>-392.79999999999995</v>
          </cell>
          <cell r="H13">
            <v>-403.3</v>
          </cell>
          <cell r="I13">
            <v>-491.2</v>
          </cell>
          <cell r="J13">
            <v>-661.30000000000007</v>
          </cell>
          <cell r="K13">
            <v>-753.19999999999993</v>
          </cell>
          <cell r="L13">
            <v>-797.6</v>
          </cell>
          <cell r="M13">
            <v>-868.19999999999993</v>
          </cell>
          <cell r="N13">
            <v>-920.7</v>
          </cell>
          <cell r="O13">
            <v>-962.20000000000016</v>
          </cell>
          <cell r="P13">
            <v>-1031.7</v>
          </cell>
          <cell r="Q13">
            <v>-1077.9000000000001</v>
          </cell>
          <cell r="R13">
            <v>-1118.0999999999999</v>
          </cell>
          <cell r="S13">
            <v>-1134.5</v>
          </cell>
          <cell r="T13">
            <v>-1175.8</v>
          </cell>
          <cell r="U13">
            <v>-1105.5999999999999</v>
          </cell>
          <cell r="V13">
            <v>-1121.1000000000001</v>
          </cell>
          <cell r="W13">
            <v>-1186.4000000000001</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-62.7</v>
          </cell>
          <cell r="W14">
            <v>-61.8</v>
          </cell>
        </row>
        <row r="15">
          <cell r="B15">
            <v>-2.5999999999999996</v>
          </cell>
          <cell r="C15">
            <v>-2.5999999999999996</v>
          </cell>
          <cell r="D15">
            <v>-2.4</v>
          </cell>
          <cell r="E15">
            <v>-2.4000000000000004</v>
          </cell>
          <cell r="F15">
            <v>-2.6</v>
          </cell>
          <cell r="G15">
            <v>-1.9</v>
          </cell>
          <cell r="H15">
            <v>-2.1</v>
          </cell>
          <cell r="I15">
            <v>-2.4</v>
          </cell>
          <cell r="J15">
            <v>-3.5</v>
          </cell>
          <cell r="K15">
            <v>-2.8</v>
          </cell>
          <cell r="L15">
            <v>-2.9</v>
          </cell>
          <cell r="M15">
            <v>-2.5</v>
          </cell>
          <cell r="N15">
            <v>-2.2000000000000002</v>
          </cell>
          <cell r="O15">
            <v>-2.5</v>
          </cell>
          <cell r="P15">
            <v>-2.2999999999999998</v>
          </cell>
          <cell r="Q15">
            <v>-2.1</v>
          </cell>
          <cell r="R15">
            <v>-2.1</v>
          </cell>
          <cell r="S15">
            <v>-2.2999999999999998</v>
          </cell>
          <cell r="T15">
            <v>-3.2</v>
          </cell>
          <cell r="U15">
            <v>-3</v>
          </cell>
          <cell r="V15">
            <v>-7.6</v>
          </cell>
          <cell r="W15">
            <v>-6.1</v>
          </cell>
        </row>
        <row r="18">
          <cell r="B18">
            <v>13782.6</v>
          </cell>
          <cell r="C18">
            <v>14567.2</v>
          </cell>
          <cell r="D18">
            <v>15449.399999999998</v>
          </cell>
          <cell r="E18">
            <v>16379.099999999997</v>
          </cell>
          <cell r="F18">
            <v>18039.899999999998</v>
          </cell>
          <cell r="G18">
            <v>20372</v>
          </cell>
          <cell r="H18">
            <v>21986.799999999999</v>
          </cell>
          <cell r="I18">
            <v>25742.799999999999</v>
          </cell>
          <cell r="J18">
            <v>29040.3</v>
          </cell>
          <cell r="K18">
            <v>29268.600000000002</v>
          </cell>
          <cell r="L18">
            <v>29050</v>
          </cell>
          <cell r="M18">
            <v>30592.799999999996</v>
          </cell>
          <cell r="N18">
            <v>30159.600000000002</v>
          </cell>
          <cell r="O18">
            <v>31781.199999999997</v>
          </cell>
          <cell r="P18">
            <v>33320.6</v>
          </cell>
          <cell r="Q18">
            <v>34508.999999999993</v>
          </cell>
          <cell r="R18">
            <v>35332.400000000001</v>
          </cell>
          <cell r="S18">
            <v>37094.800000000003</v>
          </cell>
          <cell r="T18">
            <v>39789.699999999997</v>
          </cell>
          <cell r="U18">
            <v>42329.7</v>
          </cell>
          <cell r="V18">
            <v>47795.9</v>
          </cell>
          <cell r="W18">
            <v>48490.599999999991</v>
          </cell>
        </row>
      </sheetData>
      <sheetData sheetId="9"/>
      <sheetData sheetId="10"/>
      <sheetData sheetId="11"/>
      <sheetData sheetId="12">
        <row r="97">
          <cell r="B97">
            <v>0.13739999999999999</v>
          </cell>
          <cell r="C97">
            <v>0.1341</v>
          </cell>
          <cell r="D97">
            <v>0.1305</v>
          </cell>
          <cell r="E97">
            <v>0.13120000000000001</v>
          </cell>
          <cell r="F97">
            <v>0.11020000000000001</v>
          </cell>
          <cell r="G97">
            <v>0.11219999999999999</v>
          </cell>
          <cell r="H97">
            <v>0.11899999999999999</v>
          </cell>
          <cell r="I97">
            <v>0.10390000000000001</v>
          </cell>
          <cell r="J97">
            <v>0.10100000000000001</v>
          </cell>
          <cell r="K97">
            <v>0.1087</v>
          </cell>
          <cell r="L97">
            <v>0.1207</v>
          </cell>
          <cell r="M97">
            <v>0.1201</v>
          </cell>
          <cell r="N97">
            <v>0.13</v>
          </cell>
          <cell r="O97">
            <v>0.12559999999999999</v>
          </cell>
          <cell r="P97">
            <v>0.13300000000000001</v>
          </cell>
          <cell r="Q97">
            <v>0.13150000000000001</v>
          </cell>
          <cell r="R97">
            <v>0.12740000000000001</v>
          </cell>
          <cell r="S97">
            <v>0.12609999999999999</v>
          </cell>
          <cell r="T97">
            <v>0.12559999999999999</v>
          </cell>
          <cell r="U97">
            <v>0.1192</v>
          </cell>
          <cell r="V97">
            <v>0.1211</v>
          </cell>
          <cell r="W97">
            <v>0.1298</v>
          </cell>
        </row>
        <row r="98">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v>0.1313</v>
          </cell>
          <cell r="V98">
            <v>0.13070000000000001</v>
          </cell>
          <cell r="W98">
            <v>0.13489999999999999</v>
          </cell>
        </row>
        <row r="99">
          <cell r="B99">
            <v>0.13739999999999999</v>
          </cell>
          <cell r="C99">
            <v>0.1341</v>
          </cell>
          <cell r="D99">
            <v>0.1305</v>
          </cell>
          <cell r="E99">
            <v>0.13120000000000001</v>
          </cell>
          <cell r="F99">
            <v>0.11020000000000001</v>
          </cell>
          <cell r="G99">
            <v>0.11219999999999999</v>
          </cell>
          <cell r="H99">
            <v>0.11899999999999999</v>
          </cell>
          <cell r="I99">
            <v>0.10390000000000001</v>
          </cell>
          <cell r="J99">
            <v>0.10100000000000001</v>
          </cell>
          <cell r="K99">
            <v>0.1087</v>
          </cell>
          <cell r="L99">
            <v>0.1207</v>
          </cell>
          <cell r="M99">
            <v>0.1201</v>
          </cell>
          <cell r="N99">
            <v>0.13</v>
          </cell>
          <cell r="O99">
            <v>0.12559999999999999</v>
          </cell>
          <cell r="P99">
            <v>0.13300000000000001</v>
          </cell>
          <cell r="Q99">
            <v>0.13150000000000001</v>
          </cell>
          <cell r="R99">
            <v>0.12740000000000001</v>
          </cell>
          <cell r="S99">
            <v>0.12609999999999999</v>
          </cell>
          <cell r="T99">
            <v>0.12559999999999999</v>
          </cell>
          <cell r="U99">
            <v>0.1227</v>
          </cell>
          <cell r="V99">
            <v>0.12429999999999999</v>
          </cell>
          <cell r="W99">
            <v>0.1328</v>
          </cell>
        </row>
      </sheetData>
      <sheetData sheetId="13">
        <row r="95">
          <cell r="B95">
            <v>0.1318</v>
          </cell>
          <cell r="C95">
            <v>0.1255</v>
          </cell>
          <cell r="D95">
            <v>0.1217</v>
          </cell>
          <cell r="E95">
            <v>0.1203</v>
          </cell>
          <cell r="F95">
            <v>0.10249999999999999</v>
          </cell>
          <cell r="G95">
            <v>0.1033</v>
          </cell>
          <cell r="H95">
            <v>0.11310000000000001</v>
          </cell>
          <cell r="I95">
            <v>9.8299999999999998E-2</v>
          </cell>
          <cell r="J95">
            <v>9.3899999999999997E-2</v>
          </cell>
          <cell r="K95">
            <v>9.9299999999999999E-2</v>
          </cell>
          <cell r="L95">
            <v>0.11210000000000001</v>
          </cell>
          <cell r="M95">
            <v>0.1124</v>
          </cell>
          <cell r="N95">
            <v>0.12180000000000001</v>
          </cell>
          <cell r="O95">
            <v>0.1159</v>
          </cell>
          <cell r="P95">
            <v>0.1236</v>
          </cell>
          <cell r="Q95">
            <v>0.122</v>
          </cell>
          <cell r="R95">
            <v>0.1173</v>
          </cell>
          <cell r="S95">
            <v>0.11609999999999999</v>
          </cell>
          <cell r="T95">
            <v>0.1178</v>
          </cell>
          <cell r="U95">
            <v>0.1158</v>
          </cell>
          <cell r="V95">
            <v>0.1157</v>
          </cell>
          <cell r="W95">
            <v>0.124</v>
          </cell>
        </row>
        <row r="96">
          <cell r="B96" t="str">
            <v>-</v>
          </cell>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v>0.12759999999999999</v>
          </cell>
          <cell r="V96">
            <v>0.12740000000000001</v>
          </cell>
          <cell r="W96">
            <v>0.12970000000000001</v>
          </cell>
        </row>
        <row r="97">
          <cell r="B97">
            <v>0.1318</v>
          </cell>
          <cell r="C97">
            <v>0.1255</v>
          </cell>
          <cell r="D97">
            <v>0.1217</v>
          </cell>
          <cell r="E97">
            <v>0.1203</v>
          </cell>
          <cell r="F97">
            <v>0.10249999999999999</v>
          </cell>
          <cell r="G97">
            <v>0.1033</v>
          </cell>
          <cell r="H97">
            <v>0.11310000000000001</v>
          </cell>
          <cell r="I97">
            <v>9.8299999999999998E-2</v>
          </cell>
          <cell r="J97">
            <v>9.3899999999999997E-2</v>
          </cell>
          <cell r="K97">
            <v>9.9299999999999999E-2</v>
          </cell>
          <cell r="L97">
            <v>0.11210000000000001</v>
          </cell>
          <cell r="M97">
            <v>0.1124</v>
          </cell>
          <cell r="N97">
            <v>0.12180000000000001</v>
          </cell>
          <cell r="O97">
            <v>0.1159</v>
          </cell>
          <cell r="P97">
            <v>0.1236</v>
          </cell>
          <cell r="Q97">
            <v>0.122</v>
          </cell>
          <cell r="R97">
            <v>0.1173</v>
          </cell>
          <cell r="S97">
            <v>0.11609999999999999</v>
          </cell>
          <cell r="T97">
            <v>0.1178</v>
          </cell>
          <cell r="U97">
            <v>0.1193</v>
          </cell>
          <cell r="V97">
            <v>0.11899999999999999</v>
          </cell>
          <cell r="W97">
            <v>0.12709999999999999</v>
          </cell>
        </row>
      </sheetData>
      <sheetData sheetId="14">
        <row r="6">
          <cell r="B6">
            <v>7592</v>
          </cell>
          <cell r="C6">
            <v>7683</v>
          </cell>
          <cell r="D6">
            <v>7831</v>
          </cell>
          <cell r="E6">
            <v>8074</v>
          </cell>
          <cell r="F6">
            <v>8188</v>
          </cell>
          <cell r="G6">
            <v>8387</v>
          </cell>
          <cell r="H6">
            <v>8434</v>
          </cell>
          <cell r="I6">
            <v>8577</v>
          </cell>
          <cell r="J6">
            <v>8522</v>
          </cell>
          <cell r="K6">
            <v>8378</v>
          </cell>
          <cell r="L6">
            <v>8291</v>
          </cell>
          <cell r="M6">
            <v>8291</v>
          </cell>
          <cell r="N6">
            <v>8327</v>
          </cell>
          <cell r="O6">
            <v>8438</v>
          </cell>
          <cell r="P6">
            <v>8525</v>
          </cell>
          <cell r="Q6">
            <v>8472</v>
          </cell>
          <cell r="R6">
            <v>8522</v>
          </cell>
          <cell r="S6">
            <v>8502</v>
          </cell>
          <cell r="T6">
            <v>8398</v>
          </cell>
          <cell r="U6">
            <v>8409</v>
          </cell>
          <cell r="V6">
            <v>8665</v>
          </cell>
          <cell r="W6">
            <v>8712</v>
          </cell>
        </row>
        <row r="12">
          <cell r="B12">
            <v>350</v>
          </cell>
          <cell r="C12">
            <v>361</v>
          </cell>
          <cell r="D12">
            <v>375</v>
          </cell>
          <cell r="E12">
            <v>404</v>
          </cell>
          <cell r="F12">
            <v>415</v>
          </cell>
          <cell r="G12">
            <v>430</v>
          </cell>
          <cell r="H12">
            <v>432</v>
          </cell>
          <cell r="I12">
            <v>439</v>
          </cell>
          <cell r="J12">
            <v>439</v>
          </cell>
          <cell r="K12">
            <v>438</v>
          </cell>
          <cell r="L12">
            <v>438</v>
          </cell>
          <cell r="M12">
            <v>441</v>
          </cell>
          <cell r="N12">
            <v>441</v>
          </cell>
          <cell r="O12">
            <v>442</v>
          </cell>
          <cell r="P12">
            <v>441</v>
          </cell>
          <cell r="Q12">
            <v>443</v>
          </cell>
          <cell r="R12">
            <v>445</v>
          </cell>
          <cell r="S12">
            <v>443</v>
          </cell>
          <cell r="T12">
            <v>441</v>
          </cell>
          <cell r="U12">
            <v>439</v>
          </cell>
          <cell r="V12">
            <v>438</v>
          </cell>
          <cell r="W12">
            <v>437</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10.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yes"?>
<Relationships xmlns="http://schemas.openxmlformats.org/package/2006/relationships">
<Relationship Id="rId1" Target="../printerSettings/printerSettings13.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14.xml.rels><?xml version="1.0" encoding="UTF-8" standalone="yes"?>
<Relationships xmlns="http://schemas.openxmlformats.org/package/2006/relationships">
<Relationship Id="rId1" Target="../printerSettings/printerSettings14.bin" Type="http://schemas.openxmlformats.org/officeDocument/2006/relationships/printerSettings"/>
<Relationship Id="rId2" Target="../drawings/vmlDrawing2.vml" Type="http://schemas.openxmlformats.org/officeDocument/2006/relationships/vmlDrawing"/>
<Relationship Id="rId3" Target="../comments2.xml" Type="http://schemas.openxmlformats.org/officeDocument/2006/relationships/comments"/>
</Relationships>

</file>

<file path=xl/worksheets/_rels/sheet15.xml.rels><?xml version="1.0" encoding="UTF-8" standalone="yes"?>
<Relationships xmlns="http://schemas.openxmlformats.org/package/2006/relationships">
<Relationship Id="rId1" Target="../printerSettings/printerSettings15.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showGridLines="0" tabSelected="1" view="pageBreakPreview" zoomScaleNormal="85"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activeCell="A5" sqref="A5"/>
    </sheetView>
  </sheetViews>
  <sheetFormatPr defaultColWidth="8.85546875" defaultRowHeight="12.75" outlineLevelCol="1" x14ac:dyDescent="0.2"/>
  <cols>
    <col min="1" max="1" customWidth="true" style="2" width="50.7109375" collapsed="true"/>
    <col min="2" max="2" customWidth="true" hidden="true" style="2" width="50.7109375" collapsed="true" outlineLevel="1"/>
    <col min="3" max="3" bestFit="true" customWidth="true" style="26" width="9.5703125" collapsed="true"/>
    <col min="4" max="24" bestFit="true" customWidth="true" style="26" width="9.5703125" collapsed="true"/>
    <col min="25" max="16384" style="3" width="8.85546875" collapsed="true"/>
  </cols>
  <sheetData>
    <row r="1" spans="1:26" x14ac:dyDescent="0.2">
      <c r="A1" s="1"/>
      <c r="B1" s="1"/>
    </row>
    <row r="2" spans="1:26" x14ac:dyDescent="0.2">
      <c r="A2" s="385" t="s">
        <v>478</v>
      </c>
      <c r="B2" s="385" t="s">
        <v>236</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c r="Y2" s="335"/>
      <c r="Z2" s="335"/>
    </row>
    <row r="3" spans="1:26"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c r="Y3" s="38"/>
      <c r="Z3" s="38"/>
    </row>
    <row r="4" spans="1:26" s="4" customFormat="1" ht="12.75" customHeight="1" x14ac:dyDescent="0.2">
      <c r="A4" s="21" t="s">
        <v>258</v>
      </c>
      <c r="B4" s="21" t="s">
        <v>15</v>
      </c>
      <c r="C4" s="27"/>
      <c r="D4" s="28"/>
      <c r="E4" s="28"/>
      <c r="F4" s="28"/>
      <c r="G4" s="27"/>
      <c r="H4" s="28"/>
      <c r="I4" s="28"/>
      <c r="J4" s="29"/>
      <c r="K4" s="27"/>
      <c r="L4" s="28"/>
      <c r="M4" s="28"/>
      <c r="N4" s="29"/>
      <c r="O4" s="27"/>
      <c r="P4" s="28"/>
      <c r="Q4" s="28"/>
      <c r="R4" s="29"/>
      <c r="S4" s="27"/>
      <c r="T4" s="28"/>
      <c r="U4" s="28"/>
      <c r="V4" s="29"/>
      <c r="W4" s="28"/>
      <c r="X4" s="28"/>
    </row>
    <row r="5" spans="1:26" s="10" customFormat="1" x14ac:dyDescent="0.2">
      <c r="A5" s="40" t="s">
        <v>492</v>
      </c>
      <c r="B5" s="40" t="s">
        <v>240</v>
      </c>
      <c r="C5" s="27"/>
      <c r="D5" s="28"/>
      <c r="E5" s="28"/>
      <c r="F5" s="28"/>
      <c r="G5" s="27"/>
      <c r="H5" s="28"/>
      <c r="I5" s="28"/>
      <c r="J5" s="29"/>
      <c r="K5" s="27"/>
      <c r="L5" s="28"/>
      <c r="M5" s="28"/>
      <c r="N5" s="29"/>
      <c r="O5" s="27"/>
      <c r="P5" s="28"/>
      <c r="Q5" s="28"/>
      <c r="R5" s="29"/>
      <c r="S5" s="27"/>
      <c r="T5" s="28"/>
      <c r="U5" s="28"/>
      <c r="V5" s="29"/>
      <c r="W5" s="28"/>
      <c r="X5" s="28"/>
    </row>
    <row r="6" spans="1:26" s="8" customFormat="1" ht="13.5" x14ac:dyDescent="0.2">
      <c r="A6" s="41" t="s">
        <v>481</v>
      </c>
      <c r="B6" s="41" t="s">
        <v>544</v>
      </c>
      <c r="C6" s="42">
        <f>SUM([1]RZiS!B14,[1]RZiS!B21)</f>
        <v>538.20000000000005</v>
      </c>
      <c r="D6" s="43">
        <f>SUM([1]RZiS!C14,[1]RZiS!C21)</f>
        <v>521.20000000000016</v>
      </c>
      <c r="E6" s="43">
        <f>SUM([1]RZiS!D14,[1]RZiS!D21)</f>
        <v>541.29999999999995</v>
      </c>
      <c r="F6" s="43">
        <f>SUM([1]RZiS!E14,[1]RZiS!E21)</f>
        <v>472.19999999999993</v>
      </c>
      <c r="G6" s="42">
        <f>SUM([1]RZiS!F14,[1]RZiS!F21)</f>
        <v>581.5</v>
      </c>
      <c r="H6" s="43">
        <f>SUM([1]RZiS!G14,[1]RZiS!G21)</f>
        <v>624.49999999999989</v>
      </c>
      <c r="I6" s="43">
        <f>SUM([1]RZiS!H14,[1]RZiS!H21)</f>
        <v>619</v>
      </c>
      <c r="J6" s="44">
        <f>SUM([1]RZiS!I14,[1]RZiS!I21)</f>
        <v>302.69999999999993</v>
      </c>
      <c r="K6" s="42">
        <f>SUM([1]RZiS!J14,[1]RZiS!J21)</f>
        <v>557.29999999999984</v>
      </c>
      <c r="L6" s="43">
        <f>SUM([1]RZiS!K14,[1]RZiS!K21)</f>
        <v>685</v>
      </c>
      <c r="M6" s="43">
        <f>SUM([1]RZiS!L14,[1]RZiS!L21)</f>
        <v>704.29999999999984</v>
      </c>
      <c r="N6" s="44">
        <f>SUM([1]RZiS!M14,[1]RZiS!M21)</f>
        <v>585.59999999999991</v>
      </c>
      <c r="O6" s="42">
        <f>SUM([1]RZiS!N14,[1]RZiS!N21)</f>
        <v>658.09999999999991</v>
      </c>
      <c r="P6" s="43">
        <f>SUM([1]RZiS!O14,[1]RZiS!O21)</f>
        <v>678.6</v>
      </c>
      <c r="Q6" s="43">
        <f>SUM([1]RZiS!P14,[1]RZiS!P21)</f>
        <v>700.19999999999993</v>
      </c>
      <c r="R6" s="44">
        <f>SUM([1]RZiS!Q14,[1]RZiS!Q21)</f>
        <v>694.69999999999993</v>
      </c>
      <c r="S6" s="42">
        <f>SUM([1]RZiS!R14,[1]RZiS!R21)</f>
        <v>732.5</v>
      </c>
      <c r="T6" s="43">
        <f>SUM([1]RZiS!S14,[1]RZiS!S21)</f>
        <v>750.4</v>
      </c>
      <c r="U6" s="43">
        <f>SUM([1]RZiS!T14,[1]RZiS!T21)</f>
        <v>725.7</v>
      </c>
      <c r="V6" s="44">
        <f>SUM([1]RZiS!U14,[1]RZiS!U21)</f>
        <v>745.00000000000011</v>
      </c>
      <c r="W6" s="43">
        <f>SUM([1]RZiS!V14,[1]RZiS!V21)</f>
        <v>845.80000000000007</v>
      </c>
      <c r="X6" s="43">
        <f>SUM([1]RZiS!W14,[1]RZiS!W21)</f>
        <v>792.5</v>
      </c>
    </row>
    <row r="7" spans="1:26" s="8" customFormat="1" ht="13.5" x14ac:dyDescent="0.2">
      <c r="A7" s="41" t="s">
        <v>482</v>
      </c>
      <c r="B7" s="41" t="s">
        <v>545</v>
      </c>
      <c r="C7" s="42">
        <f>[1]RZiS!B15-[1]RZiS!B19</f>
        <v>335.09999999999997</v>
      </c>
      <c r="D7" s="43">
        <f>[1]RZiS!C15-[1]RZiS!C19</f>
        <v>343.99999999999994</v>
      </c>
      <c r="E7" s="43">
        <f>[1]RZiS!D15-[1]RZiS!D19</f>
        <v>355.9</v>
      </c>
      <c r="F7" s="43">
        <f>[1]RZiS!E15-[1]RZiS!E19</f>
        <v>354.1</v>
      </c>
      <c r="G7" s="42">
        <f>[1]RZiS!F15-[1]RZiS!F19</f>
        <v>366.5</v>
      </c>
      <c r="H7" s="43">
        <f>[1]RZiS!G15-[1]RZiS!G19</f>
        <v>388.69999999999993</v>
      </c>
      <c r="I7" s="43">
        <f>[1]RZiS!H15-[1]RZiS!H19</f>
        <v>406.5</v>
      </c>
      <c r="J7" s="44">
        <f>[1]RZiS!I15-[1]RZiS!I19</f>
        <v>337.4</v>
      </c>
      <c r="K7" s="42">
        <f>[1]RZiS!J15-[1]RZiS!J19</f>
        <v>362.7</v>
      </c>
      <c r="L7" s="43">
        <f>[1]RZiS!K15-[1]RZiS!K19</f>
        <v>382.5</v>
      </c>
      <c r="M7" s="43">
        <f>[1]RZiS!L15-[1]RZiS!L19</f>
        <v>393.2</v>
      </c>
      <c r="N7" s="44">
        <f>[1]RZiS!M15-[1]RZiS!M19</f>
        <v>351.1</v>
      </c>
      <c r="O7" s="42">
        <f>[1]RZiS!N15-[1]RZiS!N19</f>
        <v>390.5</v>
      </c>
      <c r="P7" s="43">
        <f>[1]RZiS!O15-[1]RZiS!O19</f>
        <v>403.2</v>
      </c>
      <c r="Q7" s="43">
        <f>[1]RZiS!P15-[1]RZiS!P19</f>
        <v>407.7</v>
      </c>
      <c r="R7" s="44">
        <f>[1]RZiS!Q15-[1]RZiS!Q19</f>
        <v>392.5</v>
      </c>
      <c r="S7" s="42">
        <f>[1]RZiS!R15-[1]RZiS!R19</f>
        <v>408.30000000000007</v>
      </c>
      <c r="T7" s="43">
        <f>[1]RZiS!S15-[1]RZiS!S19</f>
        <v>422.7</v>
      </c>
      <c r="U7" s="43">
        <f>[1]RZiS!T15-[1]RZiS!T19</f>
        <v>422</v>
      </c>
      <c r="V7" s="44">
        <f>[1]RZiS!U15-[1]RZiS!U19</f>
        <v>410.6</v>
      </c>
      <c r="W7" s="43">
        <f>[1]RZiS!V15-[1]RZiS!V19</f>
        <v>463.90000000000003</v>
      </c>
      <c r="X7" s="43">
        <f>[1]RZiS!W15-[1]RZiS!W19</f>
        <v>454</v>
      </c>
    </row>
    <row r="8" spans="1:26" s="8" customFormat="1" x14ac:dyDescent="0.2">
      <c r="A8" s="41" t="s">
        <v>479</v>
      </c>
      <c r="B8" s="41" t="s">
        <v>228</v>
      </c>
      <c r="C8" s="42">
        <f>SUM([1]RZiS!B20)</f>
        <v>-6.3</v>
      </c>
      <c r="D8" s="43">
        <f>SUM([1]RZiS!C20)</f>
        <v>-26.7</v>
      </c>
      <c r="E8" s="43">
        <f>SUM([1]RZiS!D20)</f>
        <v>-64.400000000000006</v>
      </c>
      <c r="F8" s="43">
        <f>SUM([1]RZiS!E20)</f>
        <v>-5.8</v>
      </c>
      <c r="G8" s="42">
        <f>SUM([1]RZiS!F20)</f>
        <v>0.7</v>
      </c>
      <c r="H8" s="43">
        <f>SUM([1]RZiS!G20)</f>
        <v>-58.8</v>
      </c>
      <c r="I8" s="43">
        <f>SUM([1]RZiS!H20)</f>
        <v>7.2</v>
      </c>
      <c r="J8" s="44">
        <f>SUM([1]RZiS!I20)</f>
        <v>116.5</v>
      </c>
      <c r="K8" s="42">
        <f>SUM([1]RZiS!J20)</f>
        <v>91.7</v>
      </c>
      <c r="L8" s="43">
        <f>SUM([1]RZiS!K20)</f>
        <v>73.8</v>
      </c>
      <c r="M8" s="43">
        <f>SUM([1]RZiS!L20)</f>
        <v>54.1</v>
      </c>
      <c r="N8" s="44">
        <f>SUM([1]RZiS!M20)</f>
        <v>84.8</v>
      </c>
      <c r="O8" s="42">
        <f>SUM([1]RZiS!N20)</f>
        <v>48.1</v>
      </c>
      <c r="P8" s="43">
        <f>SUM([1]RZiS!O20)</f>
        <v>39.200000000000003</v>
      </c>
      <c r="Q8" s="43">
        <f>SUM([1]RZiS!P20)</f>
        <v>55.1</v>
      </c>
      <c r="R8" s="44">
        <f>SUM([1]RZiS!Q20)</f>
        <v>61.2</v>
      </c>
      <c r="S8" s="42">
        <f>SUM([1]RZiS!R20)</f>
        <v>57.1</v>
      </c>
      <c r="T8" s="43">
        <f>SUM([1]RZiS!S20)</f>
        <v>37.700000000000003</v>
      </c>
      <c r="U8" s="43">
        <f>SUM([1]RZiS!T20)</f>
        <v>27.1</v>
      </c>
      <c r="V8" s="44">
        <f>SUM([1]RZiS!U20)</f>
        <v>50.5</v>
      </c>
      <c r="W8" s="43">
        <f>SUM([1]RZiS!V20)</f>
        <v>64.3</v>
      </c>
      <c r="X8" s="43">
        <f>SUM([1]RZiS!W20)</f>
        <v>131.19999999999999</v>
      </c>
    </row>
    <row r="9" spans="1:26" s="4" customFormat="1" x14ac:dyDescent="0.2">
      <c r="A9" s="45" t="s">
        <v>480</v>
      </c>
      <c r="B9" s="45" t="s">
        <v>229</v>
      </c>
      <c r="C9" s="46">
        <f>SUM([1]RZiS!B22)</f>
        <v>209.40000000000012</v>
      </c>
      <c r="D9" s="47">
        <f>SUM([1]RZiS!C22)</f>
        <v>203.90000000000023</v>
      </c>
      <c r="E9" s="47">
        <f>SUM([1]RZiS!D22)</f>
        <v>249.79999999999995</v>
      </c>
      <c r="F9" s="47">
        <f>SUM([1]RZiS!E22)</f>
        <v>123.89999999999995</v>
      </c>
      <c r="G9" s="46">
        <f>SUM([1]RZiS!F22)</f>
        <v>214.3</v>
      </c>
      <c r="H9" s="47">
        <f>SUM([1]RZiS!G22)</f>
        <v>294.59999999999985</v>
      </c>
      <c r="I9" s="47">
        <f>SUM([1]RZiS!H22)</f>
        <v>205.3</v>
      </c>
      <c r="J9" s="48">
        <f>SUM([1]RZiS!I22)</f>
        <v>-151.20000000000005</v>
      </c>
      <c r="K9" s="46">
        <f>SUM([1]RZiS!J22)</f>
        <v>102.89999999999982</v>
      </c>
      <c r="L9" s="47">
        <f>SUM([1]RZiS!K22)</f>
        <v>228.7</v>
      </c>
      <c r="M9" s="47">
        <f>SUM([1]RZiS!L22)</f>
        <v>256.99999999999989</v>
      </c>
      <c r="N9" s="48">
        <f>SUM([1]RZiS!M22)</f>
        <v>149.69999999999985</v>
      </c>
      <c r="O9" s="46">
        <f>SUM([1]RZiS!N22)</f>
        <v>219.49999999999997</v>
      </c>
      <c r="P9" s="47">
        <f>SUM([1]RZiS!O22)</f>
        <v>236.20000000000007</v>
      </c>
      <c r="Q9" s="47">
        <f>SUM([1]RZiS!P22)</f>
        <v>237.39999999999992</v>
      </c>
      <c r="R9" s="48">
        <f>SUM([1]RZiS!Q22)</f>
        <v>240.99999999999997</v>
      </c>
      <c r="S9" s="46">
        <f>SUM([1]RZiS!R22)</f>
        <v>267.09999999999985</v>
      </c>
      <c r="T9" s="47">
        <f>SUM([1]RZiS!S22)</f>
        <v>289.99999999999994</v>
      </c>
      <c r="U9" s="47">
        <f>SUM([1]RZiS!T22)</f>
        <v>276.59999999999997</v>
      </c>
      <c r="V9" s="48">
        <f>SUM([1]RZiS!U22)</f>
        <v>283.90000000000009</v>
      </c>
      <c r="W9" s="47">
        <f>SUM([1]RZiS!V22)</f>
        <v>317.60000000000008</v>
      </c>
      <c r="X9" s="47">
        <f>SUM([1]RZiS!W22)</f>
        <v>207.29999999999995</v>
      </c>
    </row>
    <row r="10" spans="1:26" s="4" customFormat="1" ht="13.5" x14ac:dyDescent="0.2">
      <c r="A10" s="41" t="s">
        <v>483</v>
      </c>
      <c r="B10" s="41" t="s">
        <v>546</v>
      </c>
      <c r="C10" s="42">
        <f>[1]RZiS!B25</f>
        <v>167.40000000000012</v>
      </c>
      <c r="D10" s="43">
        <f>[1]RZiS!C25</f>
        <v>167.80000000000024</v>
      </c>
      <c r="E10" s="43">
        <f>[1]RZiS!D25</f>
        <v>197.99999999999994</v>
      </c>
      <c r="F10" s="44">
        <f>[1]RZiS!E25</f>
        <v>97.499999999999943</v>
      </c>
      <c r="G10" s="43">
        <f>[1]RZiS!F25</f>
        <v>173.8</v>
      </c>
      <c r="H10" s="43">
        <f>[1]RZiS!G25</f>
        <v>233.69999999999985</v>
      </c>
      <c r="I10" s="43">
        <f>[1]RZiS!H25</f>
        <v>166.9</v>
      </c>
      <c r="J10" s="43">
        <f>[1]RZiS!I25</f>
        <v>-129.00000000000006</v>
      </c>
      <c r="K10" s="42">
        <f>[1]RZiS!J25</f>
        <v>80.799999999999812</v>
      </c>
      <c r="L10" s="43">
        <f>[1]RZiS!K25</f>
        <v>182.7</v>
      </c>
      <c r="M10" s="43">
        <f>[1]RZiS!L25</f>
        <v>210.7999999999999</v>
      </c>
      <c r="N10" s="44">
        <f>[1]RZiS!M25</f>
        <v>120.79999999999984</v>
      </c>
      <c r="O10" s="43">
        <f>[1]RZiS!N25</f>
        <v>177.49999999999997</v>
      </c>
      <c r="P10" s="43">
        <f>[1]RZiS!O25</f>
        <v>191.50000000000006</v>
      </c>
      <c r="Q10" s="43">
        <f>[1]RZiS!P25</f>
        <v>192.39999999999992</v>
      </c>
      <c r="R10" s="43">
        <f>[1]RZiS!Q25</f>
        <v>191.7</v>
      </c>
      <c r="S10" s="42">
        <f>[1]RZiS!R25</f>
        <v>212.49999999999986</v>
      </c>
      <c r="T10" s="43">
        <f>[1]RZiS!S25</f>
        <v>233.89999999999995</v>
      </c>
      <c r="U10" s="43">
        <f>[1]RZiS!T25</f>
        <v>220.09999999999997</v>
      </c>
      <c r="V10" s="44">
        <f>[1]RZiS!U25</f>
        <v>213.60000000000008</v>
      </c>
      <c r="W10" s="43">
        <f>[1]RZiS!V25</f>
        <v>271.50000000000006</v>
      </c>
      <c r="X10" s="43">
        <f>[1]RZiS!W25</f>
        <v>167.59999999999997</v>
      </c>
    </row>
    <row r="11" spans="1:26" s="10" customFormat="1" x14ac:dyDescent="0.2">
      <c r="A11" s="40"/>
      <c r="B11" s="40"/>
      <c r="C11" s="49"/>
      <c r="D11" s="50"/>
      <c r="E11" s="50"/>
      <c r="F11" s="51"/>
      <c r="G11" s="50"/>
      <c r="H11" s="50"/>
      <c r="I11" s="50"/>
      <c r="J11" s="50"/>
      <c r="K11" s="49"/>
      <c r="L11" s="50"/>
      <c r="M11" s="50"/>
      <c r="N11" s="51"/>
      <c r="O11" s="50"/>
      <c r="P11" s="50"/>
      <c r="Q11" s="50"/>
      <c r="R11" s="50"/>
      <c r="S11" s="49"/>
      <c r="T11" s="50"/>
      <c r="U11" s="50"/>
      <c r="V11" s="51"/>
      <c r="W11" s="50"/>
      <c r="X11" s="50"/>
    </row>
    <row r="12" spans="1:26" s="10" customFormat="1" x14ac:dyDescent="0.2">
      <c r="A12" s="40" t="s">
        <v>491</v>
      </c>
      <c r="B12" s="40" t="s">
        <v>660</v>
      </c>
      <c r="C12" s="52"/>
      <c r="D12" s="53"/>
      <c r="E12" s="53"/>
      <c r="F12" s="54"/>
      <c r="G12" s="53"/>
      <c r="H12" s="53"/>
      <c r="I12" s="53"/>
      <c r="J12" s="53"/>
      <c r="K12" s="52"/>
      <c r="L12" s="53"/>
      <c r="M12" s="53"/>
      <c r="N12" s="54"/>
      <c r="O12" s="53"/>
      <c r="P12" s="53"/>
      <c r="Q12" s="53"/>
      <c r="R12" s="53"/>
      <c r="S12" s="52"/>
      <c r="T12" s="53"/>
      <c r="U12" s="53"/>
      <c r="V12" s="54"/>
      <c r="W12" s="53"/>
      <c r="X12" s="53"/>
    </row>
    <row r="13" spans="1:26" s="4" customFormat="1" x14ac:dyDescent="0.2">
      <c r="A13" s="55" t="s">
        <v>490</v>
      </c>
      <c r="B13" s="55" t="s">
        <v>230</v>
      </c>
      <c r="C13" s="56">
        <f>[1]Bilans!B51</f>
        <v>56616.9</v>
      </c>
      <c r="D13" s="57">
        <f>[1]Bilans!C51</f>
        <v>53203.1</v>
      </c>
      <c r="E13" s="57">
        <f>[1]Bilans!D51</f>
        <v>53246.6</v>
      </c>
      <c r="F13" s="57">
        <f>[1]Bilans!E51</f>
        <v>52010.799999999996</v>
      </c>
      <c r="G13" s="56">
        <f>[1]Bilans!F51</f>
        <v>60234.400000000009</v>
      </c>
      <c r="H13" s="57">
        <f>[1]Bilans!G51</f>
        <v>60513.2</v>
      </c>
      <c r="I13" s="57">
        <f>[1]Bilans!H51</f>
        <v>65262.599999999991</v>
      </c>
      <c r="J13" s="58">
        <f>[1]Bilans!I51</f>
        <v>69610.5</v>
      </c>
      <c r="K13" s="56">
        <f>[1]Bilans!J51</f>
        <v>68205.8</v>
      </c>
      <c r="L13" s="57">
        <f>[1]Bilans!K51</f>
        <v>64516.5</v>
      </c>
      <c r="M13" s="57">
        <f>[1]Bilans!L51</f>
        <v>64256.4</v>
      </c>
      <c r="N13" s="58">
        <f>[1]Bilans!M51</f>
        <v>59883.399999999994</v>
      </c>
      <c r="O13" s="56">
        <f>[1]Bilans!N51</f>
        <v>62099.1</v>
      </c>
      <c r="P13" s="57">
        <f>[1]Bilans!O51</f>
        <v>61583</v>
      </c>
      <c r="Q13" s="57">
        <f>[1]Bilans!P51</f>
        <v>62165.500000000007</v>
      </c>
      <c r="R13" s="58">
        <f>[1]Bilans!Q51</f>
        <v>64517.5</v>
      </c>
      <c r="S13" s="56">
        <f>[1]Bilans!R51</f>
        <v>65839.8</v>
      </c>
      <c r="T13" s="57">
        <f>[1]Bilans!S51</f>
        <v>67500.899999999994</v>
      </c>
      <c r="U13" s="57">
        <f>[1]Bilans!T51</f>
        <v>73696.099999999991</v>
      </c>
      <c r="V13" s="58">
        <f>[1]Bilans!U51</f>
        <v>69723.399999999994</v>
      </c>
      <c r="W13" s="57">
        <f>[1]Bilans!V51</f>
        <v>72263.099999999991</v>
      </c>
      <c r="X13" s="57">
        <f>[1]Bilans!W51</f>
        <v>70260.100000000006</v>
      </c>
    </row>
    <row r="14" spans="1:26" s="8" customFormat="1" ht="13.5" x14ac:dyDescent="0.2">
      <c r="A14" s="41" t="s">
        <v>697</v>
      </c>
      <c r="B14" s="41" t="s">
        <v>547</v>
      </c>
      <c r="C14" s="42">
        <f>'[1]Kredyty udzielone klientom'!B18-'[1]Kredyty udzielone klientom'!B8</f>
        <v>13782.6</v>
      </c>
      <c r="D14" s="43">
        <f>'[1]Kredyty udzielone klientom'!C18-'[1]Kredyty udzielone klientom'!C8</f>
        <v>14567.2</v>
      </c>
      <c r="E14" s="43">
        <f>'[1]Kredyty udzielone klientom'!D18-'[1]Kredyty udzielone klientom'!D8</f>
        <v>15449.399999999998</v>
      </c>
      <c r="F14" s="43">
        <f>'[1]Kredyty udzielone klientom'!E18-'[1]Kredyty udzielone klientom'!E8</f>
        <v>16379.099999999997</v>
      </c>
      <c r="G14" s="42">
        <f>'[1]Kredyty udzielone klientom'!F18-'[1]Kredyty udzielone klientom'!F8</f>
        <v>18039.899999999998</v>
      </c>
      <c r="H14" s="43">
        <f>'[1]Kredyty udzielone klientom'!G18-'[1]Kredyty udzielone klientom'!G8</f>
        <v>20372</v>
      </c>
      <c r="I14" s="43">
        <f>'[1]Kredyty udzielone klientom'!H18-'[1]Kredyty udzielone klientom'!H8</f>
        <v>21986.799999999999</v>
      </c>
      <c r="J14" s="44">
        <f>'[1]Kredyty udzielone klientom'!I18-'[1]Kredyty udzielone klientom'!I8</f>
        <v>24088.799999999999</v>
      </c>
      <c r="K14" s="42">
        <f>'[1]Kredyty udzielone klientom'!J18-'[1]Kredyty udzielone klientom'!J8</f>
        <v>25265.1</v>
      </c>
      <c r="L14" s="43">
        <f>'[1]Kredyty udzielone klientom'!K18-'[1]Kredyty udzielone klientom'!K8</f>
        <v>25829.500000000004</v>
      </c>
      <c r="M14" s="43">
        <f>'[1]Kredyty udzielone klientom'!L18-'[1]Kredyty udzielone klientom'!L8</f>
        <v>25701.1</v>
      </c>
      <c r="N14" s="44">
        <f>'[1]Kredyty udzielone klientom'!M18-'[1]Kredyty udzielone klientom'!M8</f>
        <v>27330.899999999994</v>
      </c>
      <c r="O14" s="42">
        <f>'[1]Kredyty udzielone klientom'!N18-'[1]Kredyty udzielone klientom'!N8</f>
        <v>27011.7</v>
      </c>
      <c r="P14" s="43">
        <f>'[1]Kredyty udzielone klientom'!O18-'[1]Kredyty udzielone klientom'!O8</f>
        <v>28333.499999999996</v>
      </c>
      <c r="Q14" s="43">
        <f>'[1]Kredyty udzielone klientom'!P18-'[1]Kredyty udzielone klientom'!P8</f>
        <v>29895.5</v>
      </c>
      <c r="R14" s="44">
        <f>'[1]Kredyty udzielone klientom'!Q18-'[1]Kredyty udzielone klientom'!Q8</f>
        <v>31240.499999999993</v>
      </c>
      <c r="S14" s="42">
        <f>'[1]Kredyty udzielone klientom'!R18-'[1]Kredyty udzielone klientom'!R8</f>
        <v>32116.800000000003</v>
      </c>
      <c r="T14" s="43">
        <f>'[1]Kredyty udzielone klientom'!S18-'[1]Kredyty udzielone klientom'!S8</f>
        <v>33905.800000000003</v>
      </c>
      <c r="U14" s="43">
        <f>'[1]Kredyty udzielone klientom'!T18-'[1]Kredyty udzielone klientom'!T8</f>
        <v>36003.5</v>
      </c>
      <c r="V14" s="44">
        <f>'[1]Kredyty udzielone klientom'!U18-'[1]Kredyty udzielone klientom'!U8</f>
        <v>38457.1</v>
      </c>
      <c r="W14" s="43">
        <f>'[1]Kredyty udzielone klientom'!V18-'[1]Kredyty udzielone klientom'!V8</f>
        <v>44115.200000000004</v>
      </c>
      <c r="X14" s="43">
        <f>'[1]Kredyty udzielone klientom'!W18-'[1]Kredyty udzielone klientom'!W8</f>
        <v>44732.399999999994</v>
      </c>
    </row>
    <row r="15" spans="1:26" s="8" customFormat="1" x14ac:dyDescent="0.2">
      <c r="A15" s="59" t="s">
        <v>493</v>
      </c>
      <c r="B15" s="59" t="s">
        <v>548</v>
      </c>
      <c r="C15" s="60">
        <f>'[1]Kredyty udzielone klientom'!B4+'[1]Kredyty udzielone klientom'!B13</f>
        <v>13453.900000000001</v>
      </c>
      <c r="D15" s="61">
        <f>'[1]Kredyty udzielone klientom'!C4+'[1]Kredyty udzielone klientom'!C13</f>
        <v>14236.900000000001</v>
      </c>
      <c r="E15" s="61">
        <f>'[1]Kredyty udzielone klientom'!D4+'[1]Kredyty udzielone klientom'!D13</f>
        <v>15148.799999999997</v>
      </c>
      <c r="F15" s="61">
        <f>'[1]Kredyty udzielone klientom'!E4+'[1]Kredyty udzielone klientom'!E13</f>
        <v>16105.499999999998</v>
      </c>
      <c r="G15" s="60">
        <f>'[1]Kredyty udzielone klientom'!F4+'[1]Kredyty udzielone klientom'!F13</f>
        <v>17758.900000000001</v>
      </c>
      <c r="H15" s="61">
        <f>'[1]Kredyty udzielone klientom'!G4+'[1]Kredyty udzielone klientom'!G13</f>
        <v>19270.100000000002</v>
      </c>
      <c r="I15" s="61">
        <f>'[1]Kredyty udzielone klientom'!H4+'[1]Kredyty udzielone klientom'!H13</f>
        <v>21508.600000000002</v>
      </c>
      <c r="J15" s="62">
        <f>'[1]Kredyty udzielone klientom'!I4+'[1]Kredyty udzielone klientom'!I13</f>
        <v>22999.3</v>
      </c>
      <c r="K15" s="60">
        <f>'[1]Kredyty udzielone klientom'!J4+'[1]Kredyty udzielone klientom'!J13</f>
        <v>24044.800000000003</v>
      </c>
      <c r="L15" s="61">
        <f>'[1]Kredyty udzielone klientom'!K4+'[1]Kredyty udzielone klientom'!K13</f>
        <v>24150.799999999999</v>
      </c>
      <c r="M15" s="61">
        <f>'[1]Kredyty udzielone klientom'!L4+'[1]Kredyty udzielone klientom'!L13</f>
        <v>24620.799999999999</v>
      </c>
      <c r="N15" s="62">
        <f>'[1]Kredyty udzielone klientom'!M4+'[1]Kredyty udzielone klientom'!M13</f>
        <v>25672.199999999997</v>
      </c>
      <c r="O15" s="60">
        <f>'[1]Kredyty udzielone klientom'!N4+'[1]Kredyty udzielone klientom'!N13</f>
        <v>25854.600000000002</v>
      </c>
      <c r="P15" s="61">
        <f>'[1]Kredyty udzielone klientom'!O4+'[1]Kredyty udzielone klientom'!O13</f>
        <v>27146.7</v>
      </c>
      <c r="Q15" s="61">
        <f>'[1]Kredyty udzielone klientom'!P4+'[1]Kredyty udzielone klientom'!P13</f>
        <v>28447</v>
      </c>
      <c r="R15" s="62">
        <f>'[1]Kredyty udzielone klientom'!Q4+'[1]Kredyty udzielone klientom'!Q13</f>
        <v>29797.599999999999</v>
      </c>
      <c r="S15" s="60">
        <f>'[1]Kredyty udzielone klientom'!R4+'[1]Kredyty udzielone klientom'!R13</f>
        <v>30639.1</v>
      </c>
      <c r="T15" s="61">
        <f>'[1]Kredyty udzielone klientom'!S4+'[1]Kredyty udzielone klientom'!S13</f>
        <v>32353.4</v>
      </c>
      <c r="U15" s="61">
        <f>'[1]Kredyty udzielone klientom'!T4+'[1]Kredyty udzielone klientom'!T13</f>
        <v>34102.799999999996</v>
      </c>
      <c r="V15" s="62">
        <f>'[1]Kredyty udzielone klientom'!U4+'[1]Kredyty udzielone klientom'!U13</f>
        <v>35998</v>
      </c>
      <c r="W15" s="61">
        <f>'[1]Kredyty udzielone klientom'!V4+'[1]Kredyty udzielone klientom'!V13</f>
        <v>36868.9</v>
      </c>
      <c r="X15" s="61">
        <f>'[1]Kredyty udzielone klientom'!W4+'[1]Kredyty udzielone klientom'!W13</f>
        <v>37493.899999999994</v>
      </c>
    </row>
    <row r="16" spans="1:26" s="8" customFormat="1" x14ac:dyDescent="0.2">
      <c r="A16" s="59" t="s">
        <v>494</v>
      </c>
      <c r="B16" s="59" t="s">
        <v>549</v>
      </c>
      <c r="C16" s="60">
        <f>'[1]Kredyty udzielone klientom'!B5+'[1]Kredyty udzielone klientom'!B14</f>
        <v>0</v>
      </c>
      <c r="D16" s="61">
        <f>'[1]Kredyty udzielone klientom'!C5+'[1]Kredyty udzielone klientom'!C14</f>
        <v>0</v>
      </c>
      <c r="E16" s="61">
        <f>'[1]Kredyty udzielone klientom'!D5+'[1]Kredyty udzielone klientom'!D14</f>
        <v>0</v>
      </c>
      <c r="F16" s="61">
        <f>'[1]Kredyty udzielone klientom'!E5+'[1]Kredyty udzielone klientom'!E14</f>
        <v>0</v>
      </c>
      <c r="G16" s="60">
        <f>'[1]Kredyty udzielone klientom'!F5+'[1]Kredyty udzielone klientom'!F14</f>
        <v>0</v>
      </c>
      <c r="H16" s="61">
        <f>'[1]Kredyty udzielone klientom'!G5+'[1]Kredyty udzielone klientom'!G14</f>
        <v>0</v>
      </c>
      <c r="I16" s="61">
        <f>'[1]Kredyty udzielone klientom'!H5+'[1]Kredyty udzielone klientom'!H14</f>
        <v>0</v>
      </c>
      <c r="J16" s="62">
        <f>'[1]Kredyty udzielone klientom'!I5+'[1]Kredyty udzielone klientom'!I14</f>
        <v>0</v>
      </c>
      <c r="K16" s="60">
        <f>'[1]Kredyty udzielone klientom'!J5+'[1]Kredyty udzielone klientom'!J14</f>
        <v>0</v>
      </c>
      <c r="L16" s="61">
        <f>'[1]Kredyty udzielone klientom'!K5+'[1]Kredyty udzielone klientom'!K14</f>
        <v>0</v>
      </c>
      <c r="M16" s="61">
        <f>'[1]Kredyty udzielone klientom'!L5+'[1]Kredyty udzielone klientom'!L14</f>
        <v>0</v>
      </c>
      <c r="N16" s="62">
        <f>'[1]Kredyty udzielone klientom'!M5+'[1]Kredyty udzielone klientom'!M14</f>
        <v>0</v>
      </c>
      <c r="O16" s="60">
        <f>'[1]Kredyty udzielone klientom'!N5+'[1]Kredyty udzielone klientom'!N14</f>
        <v>0</v>
      </c>
      <c r="P16" s="61">
        <f>'[1]Kredyty udzielone klientom'!O5+'[1]Kredyty udzielone klientom'!O14</f>
        <v>0</v>
      </c>
      <c r="Q16" s="61">
        <f>'[1]Kredyty udzielone klientom'!P5+'[1]Kredyty udzielone klientom'!P14</f>
        <v>0</v>
      </c>
      <c r="R16" s="62">
        <f>'[1]Kredyty udzielone klientom'!Q5+'[1]Kredyty udzielone klientom'!Q14</f>
        <v>0</v>
      </c>
      <c r="S16" s="60">
        <f>'[1]Kredyty udzielone klientom'!R5+'[1]Kredyty udzielone klientom'!R14</f>
        <v>0</v>
      </c>
      <c r="T16" s="61">
        <f>'[1]Kredyty udzielone klientom'!S5+'[1]Kredyty udzielone klientom'!S14</f>
        <v>0</v>
      </c>
      <c r="U16" s="61">
        <f>'[1]Kredyty udzielone klientom'!T5+'[1]Kredyty udzielone klientom'!T14</f>
        <v>0</v>
      </c>
      <c r="V16" s="62">
        <f>'[1]Kredyty udzielone klientom'!U5+'[1]Kredyty udzielone klientom'!U14</f>
        <v>0</v>
      </c>
      <c r="W16" s="61">
        <f>'[1]Kredyty udzielone klientom'!V5+'[1]Kredyty udzielone klientom'!V14</f>
        <v>3045.6000000000004</v>
      </c>
      <c r="X16" s="61">
        <f>'[1]Kredyty udzielone klientom'!W5+'[1]Kredyty udzielone klientom'!W14</f>
        <v>3084.3999999999996</v>
      </c>
    </row>
    <row r="17" spans="1:24" s="8" customFormat="1" x14ac:dyDescent="0.2">
      <c r="A17" s="59" t="s">
        <v>495</v>
      </c>
      <c r="B17" s="59" t="s">
        <v>550</v>
      </c>
      <c r="C17" s="60">
        <f>'[1]Kredyty udzielone klientom'!B6+'[1]Kredyty udzielone klientom'!B15</f>
        <v>148.70000000000002</v>
      </c>
      <c r="D17" s="61">
        <f>'[1]Kredyty udzielone klientom'!C6+'[1]Kredyty udzielone klientom'!C15</f>
        <v>148.10000000000002</v>
      </c>
      <c r="E17" s="61">
        <f>'[1]Kredyty udzielone klientom'!D6+'[1]Kredyty udzielone klientom'!D15</f>
        <v>125.5</v>
      </c>
      <c r="F17" s="61">
        <f>'[1]Kredyty udzielone klientom'!E6+'[1]Kredyty udzielone klientom'!E15</f>
        <v>128.6</v>
      </c>
      <c r="G17" s="60">
        <f>'[1]Kredyty udzielone klientom'!F6+'[1]Kredyty udzielone klientom'!F15</f>
        <v>130.5</v>
      </c>
      <c r="H17" s="61">
        <f>'[1]Kredyty udzielone klientom'!G6+'[1]Kredyty udzielone klientom'!G15</f>
        <v>136</v>
      </c>
      <c r="I17" s="61">
        <f>'[1]Kredyty udzielone klientom'!H6+'[1]Kredyty udzielone klientom'!H15</f>
        <v>178.20000000000002</v>
      </c>
      <c r="J17" s="62">
        <f>'[1]Kredyty udzielone klientom'!I6+'[1]Kredyty udzielone klientom'!I15</f>
        <v>164.6</v>
      </c>
      <c r="K17" s="60">
        <f>'[1]Kredyty udzielone klientom'!J6+'[1]Kredyty udzielone klientom'!J15</f>
        <v>270.09999999999997</v>
      </c>
      <c r="L17" s="61">
        <f>'[1]Kredyty udzielone klientom'!K6+'[1]Kredyty udzielone klientom'!K15</f>
        <v>252.7</v>
      </c>
      <c r="M17" s="61">
        <f>'[1]Kredyty udzielone klientom'!L6+'[1]Kredyty udzielone klientom'!L15</f>
        <v>175.6</v>
      </c>
      <c r="N17" s="62">
        <f>'[1]Kredyty udzielone klientom'!M6+'[1]Kredyty udzielone klientom'!M15</f>
        <v>173.1</v>
      </c>
      <c r="O17" s="60">
        <f>'[1]Kredyty udzielone klientom'!N6+'[1]Kredyty udzielone klientom'!N15</f>
        <v>142.40000000000003</v>
      </c>
      <c r="P17" s="61">
        <f>'[1]Kredyty udzielone klientom'!O6+'[1]Kredyty udzielone klientom'!O15</f>
        <v>171.1</v>
      </c>
      <c r="Q17" s="61">
        <f>'[1]Kredyty udzielone klientom'!P6+'[1]Kredyty udzielone klientom'!P15</f>
        <v>165</v>
      </c>
      <c r="R17" s="62">
        <f>'[1]Kredyty udzielone klientom'!Q6+'[1]Kredyty udzielone klientom'!Q15</f>
        <v>122.70000000000002</v>
      </c>
      <c r="S17" s="60">
        <f>'[1]Kredyty udzielone klientom'!R6+'[1]Kredyty udzielone klientom'!R15</f>
        <v>108.4</v>
      </c>
      <c r="T17" s="61">
        <f>'[1]Kredyty udzielone klientom'!S6+'[1]Kredyty udzielone klientom'!S15</f>
        <v>196.29999999999998</v>
      </c>
      <c r="U17" s="61">
        <f>'[1]Kredyty udzielone klientom'!T6+'[1]Kredyty udzielone klientom'!T15</f>
        <v>279.90000000000003</v>
      </c>
      <c r="V17" s="62">
        <f>'[1]Kredyty udzielone klientom'!U6+'[1]Kredyty udzielone klientom'!U15</f>
        <v>272.40000000000003</v>
      </c>
      <c r="W17" s="61">
        <f>'[1]Kredyty udzielone klientom'!V6+'[1]Kredyty udzielone klientom'!V15</f>
        <v>1852.5</v>
      </c>
      <c r="X17" s="61">
        <f>'[1]Kredyty udzielone klientom'!W6+'[1]Kredyty udzielone klientom'!W15</f>
        <v>2094.2000000000003</v>
      </c>
    </row>
    <row r="18" spans="1:24" s="10" customFormat="1" x14ac:dyDescent="0.2">
      <c r="A18" s="41" t="s">
        <v>429</v>
      </c>
      <c r="B18" s="41" t="s">
        <v>192</v>
      </c>
      <c r="C18" s="42">
        <f>[1]Bilans!B31</f>
        <v>40774.6</v>
      </c>
      <c r="D18" s="43">
        <f>[1]Bilans!C31</f>
        <v>40253.4</v>
      </c>
      <c r="E18" s="43">
        <f>[1]Bilans!D31</f>
        <v>40658.1</v>
      </c>
      <c r="F18" s="43">
        <f>[1]Bilans!E31</f>
        <v>44501.8</v>
      </c>
      <c r="G18" s="42">
        <f>[1]Bilans!F31</f>
        <v>45311.8</v>
      </c>
      <c r="H18" s="43">
        <f>[1]Bilans!G31</f>
        <v>47591</v>
      </c>
      <c r="I18" s="43">
        <f>[1]Bilans!H31</f>
        <v>51269</v>
      </c>
      <c r="J18" s="44">
        <f>[1]Bilans!I31</f>
        <v>47066.9</v>
      </c>
      <c r="K18" s="42">
        <f>[1]Bilans!J31</f>
        <v>46461.8</v>
      </c>
      <c r="L18" s="43">
        <f>[1]Bilans!K31</f>
        <v>45732.4</v>
      </c>
      <c r="M18" s="43">
        <f>[1]Bilans!L31</f>
        <v>46480.800000000003</v>
      </c>
      <c r="N18" s="44">
        <f>[1]Bilans!M31</f>
        <v>47584.7</v>
      </c>
      <c r="O18" s="42">
        <f>[1]Bilans!N31</f>
        <v>46184.2</v>
      </c>
      <c r="P18" s="43">
        <f>[1]Bilans!O31</f>
        <v>45954.2</v>
      </c>
      <c r="Q18" s="43">
        <f>[1]Bilans!P31</f>
        <v>47667.9</v>
      </c>
      <c r="R18" s="44">
        <f>[1]Bilans!Q31</f>
        <v>47400.1</v>
      </c>
      <c r="S18" s="42">
        <f>[1]Bilans!R31</f>
        <v>46462</v>
      </c>
      <c r="T18" s="43">
        <f>[1]Bilans!S31</f>
        <v>48286.1</v>
      </c>
      <c r="U18" s="43">
        <f>[1]Bilans!T31</f>
        <v>50758.7</v>
      </c>
      <c r="V18" s="44">
        <f>[1]Bilans!U31</f>
        <v>52932.099999999991</v>
      </c>
      <c r="W18" s="43">
        <f>[1]Bilans!V31</f>
        <v>52439.899999999994</v>
      </c>
      <c r="X18" s="43">
        <f>[1]Bilans!W31</f>
        <v>54157.000000000007</v>
      </c>
    </row>
    <row r="19" spans="1:24" s="10" customFormat="1" ht="13.5" x14ac:dyDescent="0.2">
      <c r="A19" s="41" t="s">
        <v>496</v>
      </c>
      <c r="B19" s="41" t="s">
        <v>551</v>
      </c>
      <c r="C19" s="42">
        <f>[1]Bilans!B45</f>
        <v>3902.2999999999993</v>
      </c>
      <c r="D19" s="43">
        <f>[1]Bilans!C45</f>
        <v>3622</v>
      </c>
      <c r="E19" s="43">
        <f>[1]Bilans!D45</f>
        <v>3820.3999999999996</v>
      </c>
      <c r="F19" s="43">
        <f>[1]Bilans!E45</f>
        <v>3838.7999999999997</v>
      </c>
      <c r="G19" s="42">
        <f>[1]Bilans!F45</f>
        <v>4013.7</v>
      </c>
      <c r="H19" s="43">
        <f>[1]Bilans!G45</f>
        <v>3977.5999999999995</v>
      </c>
      <c r="I19" s="43">
        <f>[1]Bilans!H45</f>
        <v>4277.8999999999996</v>
      </c>
      <c r="J19" s="44">
        <f>[1]Bilans!I45</f>
        <v>4222.2</v>
      </c>
      <c r="K19" s="42">
        <f>[1]Bilans!J45</f>
        <v>4280.8999999999996</v>
      </c>
      <c r="L19" s="43">
        <f>[1]Bilans!K45</f>
        <v>4514.6000000000004</v>
      </c>
      <c r="M19" s="43">
        <f>[1]Bilans!L45</f>
        <v>4742.1000000000004</v>
      </c>
      <c r="N19" s="44">
        <f>[1]Bilans!M45</f>
        <v>4884.3999999999996</v>
      </c>
      <c r="O19" s="42">
        <f>[1]Bilans!N45</f>
        <v>5131.7</v>
      </c>
      <c r="P19" s="43">
        <f>[1]Bilans!O45</f>
        <v>5280.2</v>
      </c>
      <c r="Q19" s="43">
        <f>[1]Bilans!P45</f>
        <v>5529.5</v>
      </c>
      <c r="R19" s="44">
        <f>[1]Bilans!Q45</f>
        <v>5650.7999999999993</v>
      </c>
      <c r="S19" s="42">
        <f>[1]Bilans!R45</f>
        <v>5782</v>
      </c>
      <c r="T19" s="43">
        <f>[1]Bilans!S45</f>
        <v>5951.5</v>
      </c>
      <c r="U19" s="43">
        <f>[1]Bilans!T45</f>
        <v>6194.5999999999995</v>
      </c>
      <c r="V19" s="44">
        <f>[1]Bilans!U45</f>
        <v>6413.7</v>
      </c>
      <c r="W19" s="43">
        <f>[1]Bilans!V45</f>
        <v>6751.1</v>
      </c>
      <c r="X19" s="43">
        <f>[1]Bilans!W45</f>
        <v>6978.8</v>
      </c>
    </row>
    <row r="20" spans="1:24" s="10" customFormat="1" x14ac:dyDescent="0.2">
      <c r="A20" s="41" t="s">
        <v>710</v>
      </c>
      <c r="B20" s="41" t="s">
        <v>249</v>
      </c>
      <c r="C20" s="63"/>
      <c r="D20" s="64"/>
      <c r="E20" s="64"/>
      <c r="F20" s="64"/>
      <c r="G20" s="63"/>
      <c r="H20" s="64"/>
      <c r="I20" s="64"/>
      <c r="J20" s="65"/>
      <c r="K20" s="63"/>
      <c r="L20" s="64"/>
      <c r="M20" s="64"/>
      <c r="N20" s="65"/>
      <c r="O20" s="63"/>
      <c r="P20" s="64"/>
      <c r="Q20" s="64"/>
      <c r="R20" s="65"/>
      <c r="S20" s="63"/>
      <c r="T20" s="64"/>
      <c r="U20" s="64"/>
      <c r="V20" s="65"/>
      <c r="W20" s="64"/>
      <c r="X20" s="64"/>
    </row>
    <row r="21" spans="1:24" s="10" customFormat="1" x14ac:dyDescent="0.2">
      <c r="A21" s="41" t="s">
        <v>709</v>
      </c>
      <c r="B21" s="41" t="s">
        <v>552</v>
      </c>
      <c r="C21" s="66">
        <f>'[1]Współcz wypł_GRUPA'!B97</f>
        <v>0.13739999999999999</v>
      </c>
      <c r="D21" s="67">
        <f>'[1]Współcz wypł_GRUPA'!C97</f>
        <v>0.1341</v>
      </c>
      <c r="E21" s="67">
        <f>'[1]Współcz wypł_GRUPA'!D97</f>
        <v>0.1305</v>
      </c>
      <c r="F21" s="67">
        <f>'[1]Współcz wypł_GRUPA'!E97</f>
        <v>0.13120000000000001</v>
      </c>
      <c r="G21" s="66">
        <f>'[1]Współcz wypł_GRUPA'!F97</f>
        <v>0.11020000000000001</v>
      </c>
      <c r="H21" s="67">
        <f>'[1]Współcz wypł_GRUPA'!G97</f>
        <v>0.11219999999999999</v>
      </c>
      <c r="I21" s="67">
        <f>'[1]Współcz wypł_GRUPA'!H97</f>
        <v>0.11899999999999999</v>
      </c>
      <c r="J21" s="68">
        <f>'[1]Współcz wypł_GRUPA'!I97</f>
        <v>0.10390000000000001</v>
      </c>
      <c r="K21" s="66">
        <f>'[1]Współcz wypł_GRUPA'!J97</f>
        <v>0.10100000000000001</v>
      </c>
      <c r="L21" s="67">
        <f>'[1]Współcz wypł_GRUPA'!K97</f>
        <v>0.1087</v>
      </c>
      <c r="M21" s="67">
        <f>'[1]Współcz wypł_GRUPA'!L97</f>
        <v>0.1207</v>
      </c>
      <c r="N21" s="68">
        <f>'[1]Współcz wypł_GRUPA'!M97</f>
        <v>0.1201</v>
      </c>
      <c r="O21" s="66">
        <f>'[1]Współcz wypł_GRUPA'!N97</f>
        <v>0.13</v>
      </c>
      <c r="P21" s="67">
        <f>'[1]Współcz wypł_GRUPA'!O97</f>
        <v>0.12559999999999999</v>
      </c>
      <c r="Q21" s="67">
        <f>'[1]Współcz wypł_GRUPA'!P97</f>
        <v>0.13300000000000001</v>
      </c>
      <c r="R21" s="68">
        <f>'[1]Współcz wypł_GRUPA'!Q97</f>
        <v>0.13150000000000001</v>
      </c>
      <c r="S21" s="66">
        <f>'[1]Współcz wypł_GRUPA'!R97</f>
        <v>0.12740000000000001</v>
      </c>
      <c r="T21" s="67">
        <f>'[1]Współcz wypł_GRUPA'!S97</f>
        <v>0.12609999999999999</v>
      </c>
      <c r="U21" s="67">
        <f>'[1]Współcz wypł_GRUPA'!T97</f>
        <v>0.12559999999999999</v>
      </c>
      <c r="V21" s="68">
        <f>'[1]Współcz wypł_GRUPA'!U97</f>
        <v>0.1192</v>
      </c>
      <c r="W21" s="67">
        <f>'[1]Współcz wypł_GRUPA'!V97</f>
        <v>0.1211</v>
      </c>
      <c r="X21" s="64">
        <f>'[1]Współcz wypł_GRUPA'!W97</f>
        <v>0.1298</v>
      </c>
    </row>
    <row r="22" spans="1:24" s="73" customFormat="1" x14ac:dyDescent="0.2">
      <c r="A22" s="59" t="s">
        <v>713</v>
      </c>
      <c r="B22" s="59" t="s">
        <v>553</v>
      </c>
      <c r="C22" s="69" t="str">
        <f>'[1]Współcz wypł_GRUPA'!B98</f>
        <v>-</v>
      </c>
      <c r="D22" s="70" t="str">
        <f>'[1]Współcz wypł_GRUPA'!C98</f>
        <v>-</v>
      </c>
      <c r="E22" s="70" t="str">
        <f>'[1]Współcz wypł_GRUPA'!D98</f>
        <v>-</v>
      </c>
      <c r="F22" s="70" t="str">
        <f>'[1]Współcz wypł_GRUPA'!E98</f>
        <v>-</v>
      </c>
      <c r="G22" s="69" t="str">
        <f>'[1]Współcz wypł_GRUPA'!F98</f>
        <v>-</v>
      </c>
      <c r="H22" s="70" t="str">
        <f>'[1]Współcz wypł_GRUPA'!G98</f>
        <v>-</v>
      </c>
      <c r="I22" s="70" t="str">
        <f>'[1]Współcz wypł_GRUPA'!H98</f>
        <v>-</v>
      </c>
      <c r="J22" s="71" t="str">
        <f>'[1]Współcz wypł_GRUPA'!I98</f>
        <v>-</v>
      </c>
      <c r="K22" s="69" t="str">
        <f>'[1]Współcz wypł_GRUPA'!J98</f>
        <v>-</v>
      </c>
      <c r="L22" s="70" t="str">
        <f>'[1]Współcz wypł_GRUPA'!K98</f>
        <v>-</v>
      </c>
      <c r="M22" s="70" t="str">
        <f>'[1]Współcz wypł_GRUPA'!L98</f>
        <v>-</v>
      </c>
      <c r="N22" s="71" t="str">
        <f>'[1]Współcz wypł_GRUPA'!M98</f>
        <v>-</v>
      </c>
      <c r="O22" s="69" t="str">
        <f>'[1]Współcz wypł_GRUPA'!N98</f>
        <v>-</v>
      </c>
      <c r="P22" s="70" t="str">
        <f>'[1]Współcz wypł_GRUPA'!O98</f>
        <v>-</v>
      </c>
      <c r="Q22" s="70" t="str">
        <f>'[1]Współcz wypł_GRUPA'!P98</f>
        <v>-</v>
      </c>
      <c r="R22" s="71" t="str">
        <f>'[1]Współcz wypł_GRUPA'!Q98</f>
        <v>-</v>
      </c>
      <c r="S22" s="69" t="str">
        <f>'[1]Współcz wypł_GRUPA'!R98</f>
        <v>-</v>
      </c>
      <c r="T22" s="70" t="str">
        <f>'[1]Współcz wypł_GRUPA'!S98</f>
        <v>-</v>
      </c>
      <c r="U22" s="70" t="str">
        <f>'[1]Współcz wypł_GRUPA'!T98</f>
        <v>-</v>
      </c>
      <c r="V22" s="71">
        <f>'[1]Współcz wypł_GRUPA'!U98</f>
        <v>0.1313</v>
      </c>
      <c r="W22" s="70">
        <f>'[1]Współcz wypł_GRUPA'!V98</f>
        <v>0.13070000000000001</v>
      </c>
      <c r="X22" s="72">
        <f>'[1]Współcz wypł_GRUPA'!W98</f>
        <v>0.13489999999999999</v>
      </c>
    </row>
    <row r="23" spans="1:24" s="73" customFormat="1" x14ac:dyDescent="0.2">
      <c r="A23" s="59" t="s">
        <v>712</v>
      </c>
      <c r="B23" s="59" t="s">
        <v>554</v>
      </c>
      <c r="C23" s="69">
        <f>'[1]Współcz wypł_GRUPA'!B99</f>
        <v>0.13739999999999999</v>
      </c>
      <c r="D23" s="70">
        <f>'[1]Współcz wypł_GRUPA'!C99</f>
        <v>0.1341</v>
      </c>
      <c r="E23" s="70">
        <f>'[1]Współcz wypł_GRUPA'!D99</f>
        <v>0.1305</v>
      </c>
      <c r="F23" s="70">
        <f>'[1]Współcz wypł_GRUPA'!E99</f>
        <v>0.13120000000000001</v>
      </c>
      <c r="G23" s="69">
        <f>'[1]Współcz wypł_GRUPA'!F99</f>
        <v>0.11020000000000001</v>
      </c>
      <c r="H23" s="70">
        <f>'[1]Współcz wypł_GRUPA'!G99</f>
        <v>0.11219999999999999</v>
      </c>
      <c r="I23" s="70">
        <f>'[1]Współcz wypł_GRUPA'!H99</f>
        <v>0.11899999999999999</v>
      </c>
      <c r="J23" s="71">
        <f>'[1]Współcz wypł_GRUPA'!I99</f>
        <v>0.10390000000000001</v>
      </c>
      <c r="K23" s="69">
        <f>'[1]Współcz wypł_GRUPA'!J99</f>
        <v>0.10100000000000001</v>
      </c>
      <c r="L23" s="70">
        <f>'[1]Współcz wypł_GRUPA'!K99</f>
        <v>0.1087</v>
      </c>
      <c r="M23" s="70">
        <f>'[1]Współcz wypł_GRUPA'!L99</f>
        <v>0.1207</v>
      </c>
      <c r="N23" s="71">
        <f>'[1]Współcz wypł_GRUPA'!M99</f>
        <v>0.1201</v>
      </c>
      <c r="O23" s="69">
        <f>'[1]Współcz wypł_GRUPA'!N99</f>
        <v>0.13</v>
      </c>
      <c r="P23" s="70">
        <f>'[1]Współcz wypł_GRUPA'!O99</f>
        <v>0.12559999999999999</v>
      </c>
      <c r="Q23" s="70">
        <f>'[1]Współcz wypł_GRUPA'!P99</f>
        <v>0.13300000000000001</v>
      </c>
      <c r="R23" s="71">
        <f>'[1]Współcz wypł_GRUPA'!Q99</f>
        <v>0.13150000000000001</v>
      </c>
      <c r="S23" s="69">
        <f>'[1]Współcz wypł_GRUPA'!R99</f>
        <v>0.12740000000000001</v>
      </c>
      <c r="T23" s="70">
        <f>'[1]Współcz wypł_GRUPA'!S99</f>
        <v>0.12609999999999999</v>
      </c>
      <c r="U23" s="70">
        <f>'[1]Współcz wypł_GRUPA'!T99</f>
        <v>0.12559999999999999</v>
      </c>
      <c r="V23" s="71">
        <f>'[1]Współcz wypł_GRUPA'!U99</f>
        <v>0.1227</v>
      </c>
      <c r="W23" s="70">
        <f>'[1]Współcz wypł_GRUPA'!V99</f>
        <v>0.12429999999999999</v>
      </c>
      <c r="X23" s="72">
        <f>'[1]Współcz wypł_GRUPA'!W99</f>
        <v>0.1328</v>
      </c>
    </row>
    <row r="24" spans="1:24" s="10" customFormat="1" x14ac:dyDescent="0.2">
      <c r="A24" s="41" t="s">
        <v>711</v>
      </c>
      <c r="B24" s="41" t="s">
        <v>248</v>
      </c>
      <c r="C24" s="63"/>
      <c r="D24" s="64"/>
      <c r="E24" s="64"/>
      <c r="F24" s="64"/>
      <c r="G24" s="63"/>
      <c r="H24" s="64"/>
      <c r="I24" s="64"/>
      <c r="J24" s="65"/>
      <c r="K24" s="63"/>
      <c r="L24" s="64"/>
      <c r="M24" s="64"/>
      <c r="N24" s="65"/>
      <c r="O24" s="63"/>
      <c r="P24" s="64"/>
      <c r="Q24" s="64"/>
      <c r="R24" s="65"/>
      <c r="S24" s="63"/>
      <c r="T24" s="64"/>
      <c r="U24" s="64"/>
      <c r="V24" s="65"/>
      <c r="W24" s="64"/>
      <c r="X24" s="64"/>
    </row>
    <row r="25" spans="1:24" s="10" customFormat="1" x14ac:dyDescent="0.2">
      <c r="A25" s="41" t="s">
        <v>709</v>
      </c>
      <c r="B25" s="41" t="s">
        <v>552</v>
      </c>
      <c r="C25" s="63">
        <f>'[1]Współcz wypł_SOLO'!B95</f>
        <v>0.1318</v>
      </c>
      <c r="D25" s="64">
        <f>'[1]Współcz wypł_SOLO'!C95</f>
        <v>0.1255</v>
      </c>
      <c r="E25" s="64">
        <f>'[1]Współcz wypł_SOLO'!D95</f>
        <v>0.1217</v>
      </c>
      <c r="F25" s="64">
        <f>'[1]Współcz wypł_SOLO'!E95</f>
        <v>0.1203</v>
      </c>
      <c r="G25" s="63">
        <f>'[1]Współcz wypł_SOLO'!F95</f>
        <v>0.10249999999999999</v>
      </c>
      <c r="H25" s="64">
        <f>'[1]Współcz wypł_SOLO'!G95</f>
        <v>0.1033</v>
      </c>
      <c r="I25" s="64">
        <f>'[1]Współcz wypł_SOLO'!H95</f>
        <v>0.11310000000000001</v>
      </c>
      <c r="J25" s="65">
        <f>'[1]Współcz wypł_SOLO'!I95</f>
        <v>9.8299999999999998E-2</v>
      </c>
      <c r="K25" s="63">
        <f>'[1]Współcz wypł_SOLO'!J95</f>
        <v>9.3899999999999997E-2</v>
      </c>
      <c r="L25" s="64">
        <f>'[1]Współcz wypł_SOLO'!K95</f>
        <v>9.9299999999999999E-2</v>
      </c>
      <c r="M25" s="64">
        <f>'[1]Współcz wypł_SOLO'!L95</f>
        <v>0.11210000000000001</v>
      </c>
      <c r="N25" s="65">
        <f>'[1]Współcz wypł_SOLO'!M95</f>
        <v>0.1124</v>
      </c>
      <c r="O25" s="63">
        <f>'[1]Współcz wypł_SOLO'!N95</f>
        <v>0.12180000000000001</v>
      </c>
      <c r="P25" s="64">
        <f>'[1]Współcz wypł_SOLO'!O95</f>
        <v>0.1159</v>
      </c>
      <c r="Q25" s="64">
        <f>'[1]Współcz wypł_SOLO'!P95</f>
        <v>0.1236</v>
      </c>
      <c r="R25" s="65">
        <f>'[1]Współcz wypł_SOLO'!Q95</f>
        <v>0.122</v>
      </c>
      <c r="S25" s="63">
        <f>'[1]Współcz wypł_SOLO'!R95</f>
        <v>0.1173</v>
      </c>
      <c r="T25" s="64">
        <f>'[1]Współcz wypł_SOLO'!S95</f>
        <v>0.11609999999999999</v>
      </c>
      <c r="U25" s="64">
        <f>'[1]Współcz wypł_SOLO'!T95</f>
        <v>0.1178</v>
      </c>
      <c r="V25" s="65">
        <f>'[1]Współcz wypł_SOLO'!U95</f>
        <v>0.1158</v>
      </c>
      <c r="W25" s="64">
        <f>'[1]Współcz wypł_SOLO'!V95</f>
        <v>0.1157</v>
      </c>
      <c r="X25" s="64">
        <f>'[1]Współcz wypł_SOLO'!W95</f>
        <v>0.124</v>
      </c>
    </row>
    <row r="26" spans="1:24" s="73" customFormat="1" x14ac:dyDescent="0.2">
      <c r="A26" s="59" t="s">
        <v>713</v>
      </c>
      <c r="B26" s="59" t="s">
        <v>553</v>
      </c>
      <c r="C26" s="69" t="str">
        <f>'[1]Współcz wypł_SOLO'!B96</f>
        <v>-</v>
      </c>
      <c r="D26" s="70" t="str">
        <f>'[1]Współcz wypł_SOLO'!C96</f>
        <v>-</v>
      </c>
      <c r="E26" s="70" t="str">
        <f>'[1]Współcz wypł_SOLO'!D96</f>
        <v>-</v>
      </c>
      <c r="F26" s="70" t="str">
        <f>'[1]Współcz wypł_SOLO'!E96</f>
        <v>-</v>
      </c>
      <c r="G26" s="69" t="str">
        <f>'[1]Współcz wypł_SOLO'!F96</f>
        <v>-</v>
      </c>
      <c r="H26" s="70" t="str">
        <f>'[1]Współcz wypł_SOLO'!G96</f>
        <v>-</v>
      </c>
      <c r="I26" s="70" t="str">
        <f>'[1]Współcz wypł_SOLO'!H96</f>
        <v>-</v>
      </c>
      <c r="J26" s="71" t="str">
        <f>'[1]Współcz wypł_SOLO'!I96</f>
        <v>-</v>
      </c>
      <c r="K26" s="69" t="str">
        <f>'[1]Współcz wypł_SOLO'!J96</f>
        <v>-</v>
      </c>
      <c r="L26" s="70" t="str">
        <f>'[1]Współcz wypł_SOLO'!K96</f>
        <v>-</v>
      </c>
      <c r="M26" s="70" t="str">
        <f>'[1]Współcz wypł_SOLO'!L96</f>
        <v>-</v>
      </c>
      <c r="N26" s="71" t="str">
        <f>'[1]Współcz wypł_SOLO'!M96</f>
        <v>-</v>
      </c>
      <c r="O26" s="69" t="str">
        <f>'[1]Współcz wypł_SOLO'!N96</f>
        <v>-</v>
      </c>
      <c r="P26" s="70" t="str">
        <f>'[1]Współcz wypł_SOLO'!O96</f>
        <v>-</v>
      </c>
      <c r="Q26" s="70" t="str">
        <f>'[1]Współcz wypł_SOLO'!P96</f>
        <v>-</v>
      </c>
      <c r="R26" s="71" t="str">
        <f>'[1]Współcz wypł_SOLO'!Q96</f>
        <v>-</v>
      </c>
      <c r="S26" s="69" t="str">
        <f>'[1]Współcz wypł_SOLO'!R96</f>
        <v>-</v>
      </c>
      <c r="T26" s="70" t="str">
        <f>'[1]Współcz wypł_SOLO'!S96</f>
        <v>-</v>
      </c>
      <c r="U26" s="70" t="str">
        <f>'[1]Współcz wypł_SOLO'!T96</f>
        <v>-</v>
      </c>
      <c r="V26" s="74">
        <f>'[1]Współcz wypł_SOLO'!U96</f>
        <v>0.12759999999999999</v>
      </c>
      <c r="W26" s="72">
        <f>'[1]Współcz wypł_SOLO'!V96</f>
        <v>0.12740000000000001</v>
      </c>
      <c r="X26" s="72">
        <f>'[1]Współcz wypł_SOLO'!W96</f>
        <v>0.12970000000000001</v>
      </c>
    </row>
    <row r="27" spans="1:24" s="73" customFormat="1" x14ac:dyDescent="0.2">
      <c r="A27" s="59" t="s">
        <v>712</v>
      </c>
      <c r="B27" s="59" t="s">
        <v>554</v>
      </c>
      <c r="C27" s="75">
        <f>'[1]Współcz wypł_SOLO'!B97</f>
        <v>0.1318</v>
      </c>
      <c r="D27" s="72">
        <f>'[1]Współcz wypł_SOLO'!C97</f>
        <v>0.1255</v>
      </c>
      <c r="E27" s="72">
        <f>'[1]Współcz wypł_SOLO'!D97</f>
        <v>0.1217</v>
      </c>
      <c r="F27" s="72">
        <f>'[1]Współcz wypł_SOLO'!E97</f>
        <v>0.1203</v>
      </c>
      <c r="G27" s="75">
        <f>'[1]Współcz wypł_SOLO'!F97</f>
        <v>0.10249999999999999</v>
      </c>
      <c r="H27" s="72">
        <f>'[1]Współcz wypł_SOLO'!G97</f>
        <v>0.1033</v>
      </c>
      <c r="I27" s="72">
        <f>'[1]Współcz wypł_SOLO'!H97</f>
        <v>0.11310000000000001</v>
      </c>
      <c r="J27" s="74">
        <f>'[1]Współcz wypł_SOLO'!I97</f>
        <v>9.8299999999999998E-2</v>
      </c>
      <c r="K27" s="75">
        <f>'[1]Współcz wypł_SOLO'!J97</f>
        <v>9.3899999999999997E-2</v>
      </c>
      <c r="L27" s="72">
        <f>'[1]Współcz wypł_SOLO'!K97</f>
        <v>9.9299999999999999E-2</v>
      </c>
      <c r="M27" s="72">
        <f>'[1]Współcz wypł_SOLO'!L97</f>
        <v>0.11210000000000001</v>
      </c>
      <c r="N27" s="74">
        <f>'[1]Współcz wypł_SOLO'!M97</f>
        <v>0.1124</v>
      </c>
      <c r="O27" s="75">
        <f>'[1]Współcz wypł_SOLO'!N97</f>
        <v>0.12180000000000001</v>
      </c>
      <c r="P27" s="72">
        <f>'[1]Współcz wypł_SOLO'!O97</f>
        <v>0.1159</v>
      </c>
      <c r="Q27" s="72">
        <f>'[1]Współcz wypł_SOLO'!P97</f>
        <v>0.1236</v>
      </c>
      <c r="R27" s="74">
        <f>'[1]Współcz wypł_SOLO'!Q97</f>
        <v>0.122</v>
      </c>
      <c r="S27" s="75">
        <f>'[1]Współcz wypł_SOLO'!R97</f>
        <v>0.1173</v>
      </c>
      <c r="T27" s="72">
        <f>'[1]Współcz wypł_SOLO'!S97</f>
        <v>0.11609999999999999</v>
      </c>
      <c r="U27" s="72">
        <f>'[1]Współcz wypł_SOLO'!T97</f>
        <v>0.1178</v>
      </c>
      <c r="V27" s="74">
        <f>'[1]Współcz wypł_SOLO'!U97</f>
        <v>0.1193</v>
      </c>
      <c r="W27" s="72">
        <f>'[1]Współcz wypł_SOLO'!V97</f>
        <v>0.11899999999999999</v>
      </c>
      <c r="X27" s="72">
        <f>'[1]Współcz wypł_SOLO'!W97</f>
        <v>0.12709999999999999</v>
      </c>
    </row>
    <row r="28" spans="1:24" s="10" customFormat="1" x14ac:dyDescent="0.2">
      <c r="A28" s="41"/>
      <c r="B28" s="41"/>
      <c r="C28" s="27"/>
      <c r="D28" s="28"/>
      <c r="E28" s="28"/>
      <c r="F28" s="28"/>
      <c r="G28" s="27"/>
      <c r="H28" s="28"/>
      <c r="I28" s="28"/>
      <c r="J28" s="29"/>
      <c r="K28" s="27"/>
      <c r="L28" s="28"/>
      <c r="M28" s="28"/>
      <c r="N28" s="29"/>
      <c r="O28" s="27"/>
      <c r="P28" s="28"/>
      <c r="Q28" s="28"/>
      <c r="R28" s="29"/>
      <c r="S28" s="27"/>
      <c r="T28" s="28"/>
      <c r="U28" s="28"/>
      <c r="V28" s="29"/>
      <c r="W28" s="28"/>
      <c r="X28" s="28"/>
    </row>
    <row r="29" spans="1:24" s="10" customFormat="1" x14ac:dyDescent="0.2">
      <c r="A29" s="40" t="s">
        <v>497</v>
      </c>
      <c r="B29" s="40" t="s">
        <v>237</v>
      </c>
      <c r="C29" s="27"/>
      <c r="D29" s="28"/>
      <c r="E29" s="28"/>
      <c r="F29" s="28"/>
      <c r="G29" s="27"/>
      <c r="H29" s="28"/>
      <c r="I29" s="28"/>
      <c r="J29" s="29"/>
      <c r="K29" s="27"/>
      <c r="L29" s="28"/>
      <c r="M29" s="28"/>
      <c r="N29" s="29"/>
      <c r="O29" s="27"/>
      <c r="P29" s="28"/>
      <c r="Q29" s="28"/>
      <c r="R29" s="29"/>
      <c r="S29" s="27"/>
      <c r="T29" s="28"/>
      <c r="U29" s="28"/>
      <c r="V29" s="29"/>
      <c r="W29" s="28"/>
      <c r="X29" s="28"/>
    </row>
    <row r="30" spans="1:24" s="10" customFormat="1" x14ac:dyDescent="0.2">
      <c r="A30" s="41" t="s">
        <v>487</v>
      </c>
      <c r="B30" s="41" t="s">
        <v>555</v>
      </c>
      <c r="C30" s="76">
        <v>1.3</v>
      </c>
      <c r="D30" s="77">
        <v>1.2</v>
      </c>
      <c r="E30" s="77">
        <v>1.2</v>
      </c>
      <c r="F30" s="77">
        <v>1.2</v>
      </c>
      <c r="G30" s="76">
        <v>1.2</v>
      </c>
      <c r="H30" s="77">
        <v>1.3</v>
      </c>
      <c r="I30" s="77">
        <v>1.2</v>
      </c>
      <c r="J30" s="78">
        <v>0.7</v>
      </c>
      <c r="K30" s="76">
        <v>0.5</v>
      </c>
      <c r="L30" s="77">
        <v>0.5</v>
      </c>
      <c r="M30" s="77">
        <v>0.5</v>
      </c>
      <c r="N30" s="78">
        <v>0.9</v>
      </c>
      <c r="O30" s="76">
        <v>1.1000000000000001</v>
      </c>
      <c r="P30" s="77">
        <v>1.1000000000000001</v>
      </c>
      <c r="Q30" s="77">
        <v>1.1000000000000001</v>
      </c>
      <c r="R30" s="78">
        <v>1.2</v>
      </c>
      <c r="S30" s="76">
        <v>1.2</v>
      </c>
      <c r="T30" s="77">
        <v>1.3</v>
      </c>
      <c r="U30" s="77">
        <v>1.3</v>
      </c>
      <c r="V30" s="78">
        <v>1.3</v>
      </c>
      <c r="W30" s="77">
        <v>1.3</v>
      </c>
      <c r="X30" s="77">
        <v>1.2</v>
      </c>
    </row>
    <row r="31" spans="1:24" s="10" customFormat="1" x14ac:dyDescent="0.2">
      <c r="A31" s="41" t="s">
        <v>488</v>
      </c>
      <c r="B31" s="41" t="s">
        <v>231</v>
      </c>
      <c r="C31" s="76">
        <v>16.3</v>
      </c>
      <c r="D31" s="77">
        <v>16.3</v>
      </c>
      <c r="E31" s="77">
        <v>17</v>
      </c>
      <c r="F31" s="77">
        <v>16.7</v>
      </c>
      <c r="G31" s="76">
        <v>16.600000000000001</v>
      </c>
      <c r="H31" s="77">
        <v>18.2</v>
      </c>
      <c r="I31" s="77">
        <v>16.899999999999999</v>
      </c>
      <c r="J31" s="78">
        <v>11</v>
      </c>
      <c r="K31" s="76">
        <v>8.5</v>
      </c>
      <c r="L31" s="77">
        <v>7.1</v>
      </c>
      <c r="M31" s="77">
        <v>7.8</v>
      </c>
      <c r="N31" s="78">
        <v>13.1</v>
      </c>
      <c r="O31" s="76">
        <v>14.7</v>
      </c>
      <c r="P31" s="77">
        <v>14.3</v>
      </c>
      <c r="Q31" s="77">
        <v>13.3</v>
      </c>
      <c r="R31" s="78">
        <v>14.2</v>
      </c>
      <c r="S31" s="76">
        <v>14.4</v>
      </c>
      <c r="T31" s="77">
        <v>14.7</v>
      </c>
      <c r="U31" s="77">
        <v>14.7</v>
      </c>
      <c r="V31" s="78">
        <v>14.7</v>
      </c>
      <c r="W31" s="77">
        <v>15.1</v>
      </c>
      <c r="X31" s="77">
        <v>13.5</v>
      </c>
    </row>
    <row r="32" spans="1:24" s="10" customFormat="1" x14ac:dyDescent="0.2">
      <c r="A32" s="79" t="s">
        <v>489</v>
      </c>
      <c r="B32" s="79" t="s">
        <v>232</v>
      </c>
      <c r="C32" s="80">
        <f>+C7/C6*100</f>
        <v>62.263099219620941</v>
      </c>
      <c r="D32" s="81">
        <f t="shared" ref="D32:X32" si="0">ROUND(D7/D6*100,1)</f>
        <v>66</v>
      </c>
      <c r="E32" s="81">
        <f t="shared" si="0"/>
        <v>65.7</v>
      </c>
      <c r="F32" s="81">
        <f t="shared" si="0"/>
        <v>75</v>
      </c>
      <c r="G32" s="80">
        <f t="shared" si="0"/>
        <v>63</v>
      </c>
      <c r="H32" s="81">
        <f t="shared" si="0"/>
        <v>62.2</v>
      </c>
      <c r="I32" s="81">
        <f t="shared" si="0"/>
        <v>65.7</v>
      </c>
      <c r="J32" s="82">
        <f t="shared" si="0"/>
        <v>111.5</v>
      </c>
      <c r="K32" s="80">
        <f t="shared" si="0"/>
        <v>65.099999999999994</v>
      </c>
      <c r="L32" s="81">
        <f t="shared" si="0"/>
        <v>55.8</v>
      </c>
      <c r="M32" s="81">
        <f t="shared" si="0"/>
        <v>55.8</v>
      </c>
      <c r="N32" s="82">
        <f t="shared" si="0"/>
        <v>60</v>
      </c>
      <c r="O32" s="80">
        <f t="shared" si="0"/>
        <v>59.3</v>
      </c>
      <c r="P32" s="81">
        <f t="shared" si="0"/>
        <v>59.4</v>
      </c>
      <c r="Q32" s="81">
        <f t="shared" si="0"/>
        <v>58.2</v>
      </c>
      <c r="R32" s="82">
        <f t="shared" si="0"/>
        <v>56.5</v>
      </c>
      <c r="S32" s="80">
        <f t="shared" si="0"/>
        <v>55.7</v>
      </c>
      <c r="T32" s="81">
        <f t="shared" si="0"/>
        <v>56.3</v>
      </c>
      <c r="U32" s="81">
        <f t="shared" si="0"/>
        <v>58.2</v>
      </c>
      <c r="V32" s="82">
        <f t="shared" si="0"/>
        <v>55.1</v>
      </c>
      <c r="W32" s="81">
        <f t="shared" si="0"/>
        <v>54.8</v>
      </c>
      <c r="X32" s="81">
        <f t="shared" si="0"/>
        <v>57.3</v>
      </c>
    </row>
    <row r="33" spans="1:26" s="10" customFormat="1" x14ac:dyDescent="0.2">
      <c r="A33" s="79" t="s">
        <v>720</v>
      </c>
      <c r="B33" s="79" t="s">
        <v>556</v>
      </c>
      <c r="C33" s="80">
        <f>+C7/C6*100</f>
        <v>62.263099219620941</v>
      </c>
      <c r="D33" s="81">
        <f>(+C7+D7)/(C6+D6)*100</f>
        <v>64.102322069095692</v>
      </c>
      <c r="E33" s="81">
        <f>(+C7+D7+E7)/(C6+D6+E6)*100</f>
        <v>64.659211594927214</v>
      </c>
      <c r="F33" s="81">
        <f>(+C7+D7+E7+F7)/(C6+D6+E6+F6)*100</f>
        <v>67.012398089632867</v>
      </c>
      <c r="G33" s="80">
        <f>+G7/G6*100</f>
        <v>63.02665520206363</v>
      </c>
      <c r="H33" s="81">
        <f>(+G7+H7)/(G6+H6)*100</f>
        <v>62.620232172470971</v>
      </c>
      <c r="I33" s="81">
        <f>(+G7+H7+I7)/(G6+H6+I6)*100</f>
        <v>63.654794520547931</v>
      </c>
      <c r="J33" s="81">
        <f>(+G7+H7+I7+J7)/(G6+H6+I6+J6)*100</f>
        <v>70.456361329134751</v>
      </c>
      <c r="K33" s="80">
        <f>+K7/K6*100</f>
        <v>65.081643638973645</v>
      </c>
      <c r="L33" s="81">
        <f>(+K7+L7)/(K6+L6)*100</f>
        <v>59.985510746196589</v>
      </c>
      <c r="M33" s="81">
        <f>(+K7+L7+M7)/(K6+L6+M6)*100</f>
        <v>58.481454844344007</v>
      </c>
      <c r="N33" s="81">
        <f>(+K7+L7+M7+N7)/(K6+L6+M6+N6)*100</f>
        <v>58.822367901429608</v>
      </c>
      <c r="O33" s="80">
        <f>+O7/O6*100</f>
        <v>59.337486704148311</v>
      </c>
      <c r="P33" s="81">
        <f>(+O7+P7)/(O6+P6)*100</f>
        <v>59.377571631630147</v>
      </c>
      <c r="Q33" s="81">
        <f>(+O7+P7+Q7)/(O6+P6+Q6)*100</f>
        <v>58.981786047425025</v>
      </c>
      <c r="R33" s="81">
        <f>(+O7+P7+Q7+R7)/(O6+P6+Q6+R6)*100</f>
        <v>58.350417337823998</v>
      </c>
      <c r="S33" s="80">
        <f>+S7/S6*100</f>
        <v>55.740614334470997</v>
      </c>
      <c r="T33" s="81">
        <f>(+S7+T7)/(S6+T6)*100</f>
        <v>56.038842808011324</v>
      </c>
      <c r="U33" s="81">
        <f>(+S7+T7+U7)/(S6+T6+U6)*100</f>
        <v>56.732771891696089</v>
      </c>
      <c r="V33" s="81">
        <f>(+S7+T7+U7+V7)/(S6+T6+U6+V6)*100</f>
        <v>56.324485373781144</v>
      </c>
      <c r="W33" s="80">
        <f>+W7/W6*100</f>
        <v>54.847481674154643</v>
      </c>
      <c r="X33" s="81">
        <f>(+W7+X7)/(W6+X6)*100</f>
        <v>56.027589574558988</v>
      </c>
    </row>
    <row r="34" spans="1:26" s="10" customFormat="1" ht="13.5" x14ac:dyDescent="0.2">
      <c r="A34" s="79" t="s">
        <v>505</v>
      </c>
      <c r="B34" s="79" t="s">
        <v>557</v>
      </c>
      <c r="C34" s="83" t="s">
        <v>558</v>
      </c>
      <c r="D34" s="84" t="s">
        <v>558</v>
      </c>
      <c r="E34" s="84" t="s">
        <v>558</v>
      </c>
      <c r="F34" s="84" t="s">
        <v>558</v>
      </c>
      <c r="G34" s="85">
        <v>2.04</v>
      </c>
      <c r="H34" s="86">
        <v>2.14</v>
      </c>
      <c r="I34" s="86">
        <v>2.15</v>
      </c>
      <c r="J34" s="87">
        <v>2.14</v>
      </c>
      <c r="K34" s="85">
        <v>2.0699999999999998</v>
      </c>
      <c r="L34" s="86">
        <v>2.11</v>
      </c>
      <c r="M34" s="86">
        <v>2.17</v>
      </c>
      <c r="N34" s="87">
        <v>2.25</v>
      </c>
      <c r="O34" s="85">
        <v>2.4500000000000002</v>
      </c>
      <c r="P34" s="86">
        <v>2.58</v>
      </c>
      <c r="Q34" s="86">
        <v>2.66</v>
      </c>
      <c r="R34" s="87">
        <v>2.78</v>
      </c>
      <c r="S34" s="85">
        <v>2.79</v>
      </c>
      <c r="T34" s="86">
        <v>2.83</v>
      </c>
      <c r="U34" s="86">
        <v>2.84</v>
      </c>
      <c r="V34" s="87">
        <v>2.87</v>
      </c>
      <c r="W34" s="86">
        <v>2.91</v>
      </c>
      <c r="X34" s="86">
        <v>2.96</v>
      </c>
    </row>
    <row r="35" spans="1:26" x14ac:dyDescent="0.2">
      <c r="C35" s="27"/>
      <c r="D35" s="28"/>
      <c r="E35" s="28"/>
      <c r="F35" s="28"/>
      <c r="G35" s="27"/>
      <c r="H35" s="28"/>
      <c r="I35" s="28"/>
      <c r="J35" s="29"/>
      <c r="K35" s="27"/>
      <c r="L35" s="28"/>
      <c r="M35" s="28"/>
      <c r="N35" s="29"/>
      <c r="O35" s="27"/>
      <c r="P35" s="28"/>
      <c r="Q35" s="28"/>
      <c r="R35" s="29"/>
      <c r="S35" s="27"/>
      <c r="T35" s="28"/>
      <c r="U35" s="28"/>
      <c r="V35" s="29"/>
      <c r="W35" s="28"/>
      <c r="X35" s="28"/>
      <c r="Y35" s="10"/>
      <c r="Z35" s="10"/>
    </row>
    <row r="36" spans="1:26" x14ac:dyDescent="0.2">
      <c r="A36" s="40" t="s">
        <v>500</v>
      </c>
      <c r="B36" s="40" t="s">
        <v>238</v>
      </c>
      <c r="C36" s="27"/>
      <c r="D36" s="28"/>
      <c r="E36" s="28"/>
      <c r="F36" s="28"/>
      <c r="G36" s="27"/>
      <c r="H36" s="28"/>
      <c r="I36" s="28"/>
      <c r="J36" s="29"/>
      <c r="K36" s="27"/>
      <c r="L36" s="28"/>
      <c r="M36" s="28"/>
      <c r="N36" s="29"/>
      <c r="O36" s="27"/>
      <c r="P36" s="28"/>
      <c r="Q36" s="28"/>
      <c r="R36" s="29"/>
      <c r="S36" s="27"/>
      <c r="T36" s="28"/>
      <c r="U36" s="28"/>
      <c r="V36" s="29"/>
      <c r="W36" s="28"/>
      <c r="X36" s="28"/>
    </row>
    <row r="37" spans="1:26" ht="13.5" x14ac:dyDescent="0.2">
      <c r="A37" s="79" t="s">
        <v>716</v>
      </c>
      <c r="B37" s="79" t="s">
        <v>717</v>
      </c>
      <c r="C37" s="27">
        <v>130100000</v>
      </c>
      <c r="D37" s="28">
        <v>130100000</v>
      </c>
      <c r="E37" s="28">
        <v>130100000</v>
      </c>
      <c r="F37" s="29">
        <v>130100000</v>
      </c>
      <c r="G37" s="28">
        <v>130100000</v>
      </c>
      <c r="H37" s="28">
        <v>130100000</v>
      </c>
      <c r="I37" s="28">
        <v>130100000</v>
      </c>
      <c r="J37" s="28">
        <v>130100000</v>
      </c>
      <c r="K37" s="27">
        <v>130100000</v>
      </c>
      <c r="L37" s="28">
        <v>130100000</v>
      </c>
      <c r="M37" s="28">
        <v>130100000</v>
      </c>
      <c r="N37" s="29">
        <v>130100000</v>
      </c>
      <c r="O37" s="28">
        <v>130100000</v>
      </c>
      <c r="P37" s="28">
        <v>130100000</v>
      </c>
      <c r="Q37" s="28">
        <v>130100000</v>
      </c>
      <c r="R37" s="28">
        <v>130100000</v>
      </c>
      <c r="S37" s="27">
        <v>130100000</v>
      </c>
      <c r="T37" s="28">
        <v>130100000</v>
      </c>
      <c r="U37" s="28">
        <v>130100000</v>
      </c>
      <c r="V37" s="29">
        <v>130100000</v>
      </c>
      <c r="W37" s="28">
        <v>130100000</v>
      </c>
      <c r="X37" s="28">
        <v>130100000</v>
      </c>
    </row>
    <row r="38" spans="1:26" x14ac:dyDescent="0.2">
      <c r="A38" s="41" t="s">
        <v>499</v>
      </c>
      <c r="B38" s="41" t="s">
        <v>241</v>
      </c>
      <c r="C38" s="42">
        <f>[1]Bilans!B45</f>
        <v>3902.2999999999993</v>
      </c>
      <c r="D38" s="43">
        <f>[1]Bilans!C45</f>
        <v>3622</v>
      </c>
      <c r="E38" s="43">
        <f>[1]Bilans!D45</f>
        <v>3820.3999999999996</v>
      </c>
      <c r="F38" s="44">
        <f>[1]Bilans!E45</f>
        <v>3838.7999999999997</v>
      </c>
      <c r="G38" s="43">
        <f>[1]Bilans!F45</f>
        <v>4013.7</v>
      </c>
      <c r="H38" s="43">
        <f>[1]Bilans!G45</f>
        <v>3977.5999999999995</v>
      </c>
      <c r="I38" s="43">
        <f>[1]Bilans!H45</f>
        <v>4277.8999999999996</v>
      </c>
      <c r="J38" s="44">
        <f>[1]Bilans!I45</f>
        <v>4222.2</v>
      </c>
      <c r="K38" s="42">
        <f>[1]Bilans!J45</f>
        <v>4280.8999999999996</v>
      </c>
      <c r="L38" s="43">
        <f>[1]Bilans!K45</f>
        <v>4514.6000000000004</v>
      </c>
      <c r="M38" s="43">
        <f>[1]Bilans!L45</f>
        <v>4742.1000000000004</v>
      </c>
      <c r="N38" s="44">
        <f>[1]Bilans!M45</f>
        <v>4884.3999999999996</v>
      </c>
      <c r="O38" s="42">
        <f>[1]Bilans!N45</f>
        <v>5131.7</v>
      </c>
      <c r="P38" s="43">
        <f>[1]Bilans!O45</f>
        <v>5280.2</v>
      </c>
      <c r="Q38" s="43">
        <f>[1]Bilans!P45</f>
        <v>5529.5</v>
      </c>
      <c r="R38" s="43">
        <f>[1]Bilans!Q45</f>
        <v>5650.7999999999993</v>
      </c>
      <c r="S38" s="42">
        <f>[1]Bilans!R45</f>
        <v>5782</v>
      </c>
      <c r="T38" s="43">
        <f>[1]Bilans!S45</f>
        <v>5951.5</v>
      </c>
      <c r="U38" s="43">
        <f>[1]Bilans!T45</f>
        <v>6194.5999999999995</v>
      </c>
      <c r="V38" s="44">
        <f>[1]Bilans!U45</f>
        <v>6413.7</v>
      </c>
      <c r="W38" s="43">
        <f>[1]Bilans!V45</f>
        <v>6751.1</v>
      </c>
      <c r="X38" s="43">
        <f>[1]Bilans!W45</f>
        <v>6978.8</v>
      </c>
    </row>
    <row r="39" spans="1:26" x14ac:dyDescent="0.2">
      <c r="A39" s="41" t="s">
        <v>502</v>
      </c>
      <c r="B39" s="41" t="s">
        <v>252</v>
      </c>
      <c r="C39" s="88">
        <f t="shared" ref="C39:X39" si="1">+C38/C37*1000000</f>
        <v>29.9946195234435</v>
      </c>
      <c r="D39" s="89">
        <f t="shared" si="1"/>
        <v>27.84012298232129</v>
      </c>
      <c r="E39" s="89">
        <f t="shared" si="1"/>
        <v>29.365103766333586</v>
      </c>
      <c r="F39" s="90">
        <f t="shared" si="1"/>
        <v>29.5065334358186</v>
      </c>
      <c r="G39" s="89">
        <f t="shared" si="1"/>
        <v>30.850883935434279</v>
      </c>
      <c r="H39" s="89">
        <f t="shared" si="1"/>
        <v>30.573405073020748</v>
      </c>
      <c r="I39" s="89">
        <f t="shared" si="1"/>
        <v>32.881629515757105</v>
      </c>
      <c r="J39" s="89">
        <f t="shared" si="1"/>
        <v>32.453497309761723</v>
      </c>
      <c r="K39" s="88">
        <f t="shared" si="1"/>
        <v>32.904688700999223</v>
      </c>
      <c r="L39" s="89">
        <f t="shared" si="1"/>
        <v>34.700999231360491</v>
      </c>
      <c r="M39" s="89">
        <f t="shared" si="1"/>
        <v>36.449654112221374</v>
      </c>
      <c r="N39" s="90">
        <f t="shared" si="1"/>
        <v>37.543428132205996</v>
      </c>
      <c r="O39" s="88">
        <f t="shared" si="1"/>
        <v>39.444273635664871</v>
      </c>
      <c r="P39" s="89">
        <f t="shared" si="1"/>
        <v>40.585703305149885</v>
      </c>
      <c r="Q39" s="89">
        <f t="shared" si="1"/>
        <v>42.501921598770174</v>
      </c>
      <c r="R39" s="89">
        <f t="shared" si="1"/>
        <v>43.434281322059952</v>
      </c>
      <c r="S39" s="88">
        <f t="shared" si="1"/>
        <v>44.44273635664873</v>
      </c>
      <c r="T39" s="89">
        <f t="shared" si="1"/>
        <v>45.745580322828594</v>
      </c>
      <c r="U39" s="89">
        <f t="shared" si="1"/>
        <v>47.614142966948499</v>
      </c>
      <c r="V39" s="90">
        <f t="shared" si="1"/>
        <v>49.298232129131435</v>
      </c>
      <c r="W39" s="89">
        <f t="shared" si="1"/>
        <v>51.89162182936203</v>
      </c>
      <c r="X39" s="89">
        <f t="shared" si="1"/>
        <v>53.641813989239047</v>
      </c>
    </row>
    <row r="40" spans="1:26" x14ac:dyDescent="0.2">
      <c r="A40" s="41" t="s">
        <v>486</v>
      </c>
      <c r="B40" s="41" t="s">
        <v>233</v>
      </c>
      <c r="C40" s="88">
        <f t="shared" ref="C40:X40" si="2">(C10/C37)*1000000</f>
        <v>1.2867025365103775</v>
      </c>
      <c r="D40" s="89">
        <f t="shared" si="2"/>
        <v>1.2897770945426612</v>
      </c>
      <c r="E40" s="89">
        <f t="shared" si="2"/>
        <v>1.5219062259800151</v>
      </c>
      <c r="F40" s="90">
        <f t="shared" si="2"/>
        <v>0.74942352036894655</v>
      </c>
      <c r="G40" s="89">
        <f t="shared" si="2"/>
        <v>1.3358954650269026</v>
      </c>
      <c r="H40" s="89">
        <f t="shared" si="2"/>
        <v>1.7963105303612594</v>
      </c>
      <c r="I40" s="89">
        <f t="shared" si="2"/>
        <v>1.2828593389700231</v>
      </c>
      <c r="J40" s="89">
        <f t="shared" si="2"/>
        <v>-0.9915449654112225</v>
      </c>
      <c r="K40" s="88">
        <f t="shared" si="2"/>
        <v>0.6210607225211362</v>
      </c>
      <c r="L40" s="89">
        <f t="shared" si="2"/>
        <v>1.4043043812451959</v>
      </c>
      <c r="M40" s="89">
        <f t="shared" si="2"/>
        <v>1.620292083013066</v>
      </c>
      <c r="N40" s="90">
        <f t="shared" si="2"/>
        <v>0.92851652574942223</v>
      </c>
      <c r="O40" s="88">
        <f t="shared" si="2"/>
        <v>1.3643351268255186</v>
      </c>
      <c r="P40" s="89">
        <f t="shared" si="2"/>
        <v>1.4719446579554194</v>
      </c>
      <c r="Q40" s="89">
        <f t="shared" si="2"/>
        <v>1.4788624135280548</v>
      </c>
      <c r="R40" s="89">
        <f t="shared" si="2"/>
        <v>1.4734819369715602</v>
      </c>
      <c r="S40" s="88">
        <f t="shared" si="2"/>
        <v>1.6333589546502678</v>
      </c>
      <c r="T40" s="89">
        <f t="shared" si="2"/>
        <v>1.7978478093774015</v>
      </c>
      <c r="U40" s="89">
        <f t="shared" si="2"/>
        <v>1.691775557263643</v>
      </c>
      <c r="V40" s="90">
        <f t="shared" si="2"/>
        <v>1.6418139892390475</v>
      </c>
      <c r="W40" s="89">
        <f t="shared" si="2"/>
        <v>2.0868562644119915</v>
      </c>
      <c r="X40" s="89">
        <f t="shared" si="2"/>
        <v>1.2882398155265178</v>
      </c>
    </row>
    <row r="41" spans="1:26" x14ac:dyDescent="0.2">
      <c r="A41" s="41" t="s">
        <v>503</v>
      </c>
      <c r="B41" s="41" t="s">
        <v>239</v>
      </c>
      <c r="C41" s="42">
        <f>(+C42*C37)/1000000</f>
        <v>9887.6</v>
      </c>
      <c r="D41" s="43">
        <f>+(D42*D37)/1000000</f>
        <v>13049.03</v>
      </c>
      <c r="E41" s="43">
        <f>(+E42*E37)/1000000</f>
        <v>11839.1</v>
      </c>
      <c r="F41" s="43">
        <f>(+F42*F37)/1000000</f>
        <v>9432.25</v>
      </c>
      <c r="G41" s="42">
        <f>(+G42*G37)/1000000</f>
        <v>6895.3</v>
      </c>
      <c r="H41" s="43">
        <f>+(H42*H37)/1000000</f>
        <v>5399.15</v>
      </c>
      <c r="I41" s="43">
        <f>(+I42*I37)/1000000</f>
        <v>6648.11</v>
      </c>
      <c r="J41" s="43">
        <f>(+J42*J37)/1000000</f>
        <v>5594.3</v>
      </c>
      <c r="K41" s="42">
        <f>(+K42*K37)/1000000</f>
        <v>2758.12</v>
      </c>
      <c r="L41" s="43">
        <f>+(L42*L37)/1000000</f>
        <v>4566.51</v>
      </c>
      <c r="M41" s="43">
        <f>(+M42*M37)/1000000</f>
        <v>8326.4</v>
      </c>
      <c r="N41" s="43">
        <f>(+N42*N37)/1000000</f>
        <v>10147.799999999999</v>
      </c>
      <c r="O41" s="42">
        <f>(+O42*O37)/1000000</f>
        <v>9705.4599999999991</v>
      </c>
      <c r="P41" s="43">
        <f>+(P42*P37)/1000000</f>
        <v>9822.5499999999993</v>
      </c>
      <c r="Q41" s="43">
        <f>(+Q42*Q37)/1000000</f>
        <v>10733.25</v>
      </c>
      <c r="R41" s="43">
        <f>(+R42*R37)/1000000</f>
        <v>11630.94</v>
      </c>
      <c r="S41" s="42">
        <f>(+S42*S37)/1000000</f>
        <v>11630.94</v>
      </c>
      <c r="T41" s="43">
        <f>+(T42*T37)/1000000</f>
        <v>11227.63</v>
      </c>
      <c r="U41" s="43">
        <f>(+U42*U37)/1000000</f>
        <v>9627.4</v>
      </c>
      <c r="V41" s="43">
        <f>(+V42*V37)/1000000</f>
        <v>10225.86</v>
      </c>
      <c r="W41" s="42">
        <f>(+W42*W37)/1000000</f>
        <v>11500.84</v>
      </c>
      <c r="X41" s="43">
        <f>(+X42*X37)/1000000</f>
        <v>10616.16</v>
      </c>
    </row>
    <row r="42" spans="1:26" x14ac:dyDescent="0.2">
      <c r="A42" s="41" t="s">
        <v>501</v>
      </c>
      <c r="B42" s="41" t="s">
        <v>242</v>
      </c>
      <c r="C42" s="42">
        <v>76</v>
      </c>
      <c r="D42" s="43">
        <v>100.3</v>
      </c>
      <c r="E42" s="43">
        <v>91</v>
      </c>
      <c r="F42" s="43">
        <v>72.5</v>
      </c>
      <c r="G42" s="42">
        <v>53</v>
      </c>
      <c r="H42" s="43">
        <v>41.5</v>
      </c>
      <c r="I42" s="43">
        <v>51.1</v>
      </c>
      <c r="J42" s="44">
        <v>43</v>
      </c>
      <c r="K42" s="42">
        <v>21.2</v>
      </c>
      <c r="L42" s="43">
        <v>35.1</v>
      </c>
      <c r="M42" s="43">
        <v>64</v>
      </c>
      <c r="N42" s="43">
        <v>78</v>
      </c>
      <c r="O42" s="42">
        <v>74.599999999999994</v>
      </c>
      <c r="P42" s="43">
        <v>75.5</v>
      </c>
      <c r="Q42" s="43">
        <v>82.5</v>
      </c>
      <c r="R42" s="44">
        <v>89.4</v>
      </c>
      <c r="S42" s="42">
        <v>89.4</v>
      </c>
      <c r="T42" s="43">
        <v>86.3</v>
      </c>
      <c r="U42" s="43">
        <v>74</v>
      </c>
      <c r="V42" s="44">
        <v>78.599999999999994</v>
      </c>
      <c r="W42" s="43">
        <v>88.4</v>
      </c>
      <c r="X42" s="43">
        <v>81.599999999999994</v>
      </c>
    </row>
    <row r="43" spans="1:26" x14ac:dyDescent="0.2">
      <c r="A43" s="41"/>
      <c r="B43" s="41"/>
      <c r="C43" s="27"/>
      <c r="D43" s="28"/>
      <c r="E43" s="28"/>
      <c r="F43" s="28"/>
      <c r="G43" s="27"/>
      <c r="H43" s="28"/>
      <c r="I43" s="28"/>
      <c r="J43" s="29"/>
      <c r="K43" s="27"/>
      <c r="L43" s="28"/>
      <c r="M43" s="28"/>
      <c r="N43" s="29"/>
      <c r="O43" s="27"/>
      <c r="P43" s="28"/>
      <c r="Q43" s="28"/>
      <c r="R43" s="29"/>
      <c r="S43" s="27"/>
      <c r="T43" s="28"/>
      <c r="U43" s="28"/>
      <c r="V43" s="29"/>
      <c r="W43" s="28"/>
      <c r="X43" s="28"/>
    </row>
    <row r="44" spans="1:26" x14ac:dyDescent="0.2">
      <c r="A44" s="40" t="s">
        <v>498</v>
      </c>
      <c r="B44" s="40" t="s">
        <v>243</v>
      </c>
      <c r="C44" s="27"/>
      <c r="D44" s="28"/>
      <c r="E44" s="28"/>
      <c r="F44" s="28"/>
      <c r="G44" s="27"/>
      <c r="H44" s="28"/>
      <c r="I44" s="28"/>
      <c r="J44" s="29"/>
      <c r="K44" s="27"/>
      <c r="L44" s="28"/>
      <c r="M44" s="28"/>
      <c r="N44" s="29"/>
      <c r="O44" s="27"/>
      <c r="P44" s="28"/>
      <c r="Q44" s="28"/>
      <c r="R44" s="29"/>
      <c r="S44" s="27"/>
      <c r="T44" s="28"/>
      <c r="U44" s="28"/>
      <c r="V44" s="29"/>
      <c r="W44" s="28"/>
      <c r="X44" s="28"/>
    </row>
    <row r="45" spans="1:26" s="16" customFormat="1" x14ac:dyDescent="0.2">
      <c r="A45" s="41" t="s">
        <v>484</v>
      </c>
      <c r="B45" s="41" t="s">
        <v>250</v>
      </c>
      <c r="C45" s="27">
        <v>2088.627</v>
      </c>
      <c r="D45" s="28">
        <v>2133.0610000000001</v>
      </c>
      <c r="E45" s="28">
        <v>2213.078</v>
      </c>
      <c r="F45" s="28">
        <v>2256.761</v>
      </c>
      <c r="G45" s="27">
        <v>2341.6570000000002</v>
      </c>
      <c r="H45" s="28">
        <v>2409.6489999999999</v>
      </c>
      <c r="I45" s="28">
        <v>2522.3789999999999</v>
      </c>
      <c r="J45" s="29">
        <v>2599.2269999999999</v>
      </c>
      <c r="K45" s="27">
        <v>2632.808</v>
      </c>
      <c r="L45" s="28">
        <v>2672.51</v>
      </c>
      <c r="M45" s="28">
        <v>2706.0970000000002</v>
      </c>
      <c r="N45" s="29">
        <v>2760.9070000000002</v>
      </c>
      <c r="O45" s="27">
        <v>2805.6379999999999</v>
      </c>
      <c r="P45" s="28">
        <v>2855.221</v>
      </c>
      <c r="Q45" s="28">
        <v>2918.4059999999999</v>
      </c>
      <c r="R45" s="29">
        <v>2969.1709999999998</v>
      </c>
      <c r="S45" s="27">
        <v>3000.9110000000001</v>
      </c>
      <c r="T45" s="28">
        <v>3028.645</v>
      </c>
      <c r="U45" s="28">
        <v>3045.63</v>
      </c>
      <c r="V45" s="29">
        <v>3073.2040000000002</v>
      </c>
      <c r="W45" s="28">
        <v>3122.11</v>
      </c>
      <c r="X45" s="28">
        <v>3144.143</v>
      </c>
    </row>
    <row r="46" spans="1:26" s="16" customFormat="1" x14ac:dyDescent="0.2">
      <c r="A46" s="41" t="s">
        <v>472</v>
      </c>
      <c r="B46" s="41" t="s">
        <v>234</v>
      </c>
      <c r="C46" s="27">
        <f>'[1]Pozostałe informacje'!B12</f>
        <v>350</v>
      </c>
      <c r="D46" s="28">
        <f>'[1]Pozostałe informacje'!C12</f>
        <v>361</v>
      </c>
      <c r="E46" s="28">
        <f>'[1]Pozostałe informacje'!D12</f>
        <v>375</v>
      </c>
      <c r="F46" s="28">
        <f>'[1]Pozostałe informacje'!E12</f>
        <v>404</v>
      </c>
      <c r="G46" s="27">
        <f>'[1]Pozostałe informacje'!F12</f>
        <v>415</v>
      </c>
      <c r="H46" s="28">
        <f>'[1]Pozostałe informacje'!G12</f>
        <v>430</v>
      </c>
      <c r="I46" s="28">
        <f>'[1]Pozostałe informacje'!H12</f>
        <v>432</v>
      </c>
      <c r="J46" s="29">
        <f>'[1]Pozostałe informacje'!I12</f>
        <v>439</v>
      </c>
      <c r="K46" s="27">
        <f>'[1]Pozostałe informacje'!J12</f>
        <v>439</v>
      </c>
      <c r="L46" s="28">
        <f>'[1]Pozostałe informacje'!K12</f>
        <v>438</v>
      </c>
      <c r="M46" s="28">
        <f>'[1]Pozostałe informacje'!L12</f>
        <v>438</v>
      </c>
      <c r="N46" s="29">
        <f>'[1]Pozostałe informacje'!M12</f>
        <v>441</v>
      </c>
      <c r="O46" s="27">
        <f>'[1]Pozostałe informacje'!N12</f>
        <v>441</v>
      </c>
      <c r="P46" s="28">
        <f>'[1]Pozostałe informacje'!O12</f>
        <v>442</v>
      </c>
      <c r="Q46" s="28">
        <f>'[1]Pozostałe informacje'!P12</f>
        <v>441</v>
      </c>
      <c r="R46" s="29">
        <f>'[1]Pozostałe informacje'!Q12</f>
        <v>443</v>
      </c>
      <c r="S46" s="27">
        <f>'[1]Pozostałe informacje'!R12</f>
        <v>445</v>
      </c>
      <c r="T46" s="28">
        <f>'[1]Pozostałe informacje'!S12</f>
        <v>443</v>
      </c>
      <c r="U46" s="28">
        <f>'[1]Pozostałe informacje'!T12</f>
        <v>441</v>
      </c>
      <c r="V46" s="29">
        <f>'[1]Pozostałe informacje'!U12</f>
        <v>439</v>
      </c>
      <c r="W46" s="28">
        <f>'[1]Pozostałe informacje'!V12</f>
        <v>438</v>
      </c>
      <c r="X46" s="28">
        <f>'[1]Pozostałe informacje'!W12</f>
        <v>437</v>
      </c>
    </row>
    <row r="47" spans="1:26" s="16" customFormat="1" x14ac:dyDescent="0.2">
      <c r="A47" s="41" t="s">
        <v>485</v>
      </c>
      <c r="B47" s="41" t="s">
        <v>235</v>
      </c>
      <c r="C47" s="27">
        <f>'[1]Pozostałe informacje'!B6</f>
        <v>7592</v>
      </c>
      <c r="D47" s="28">
        <f>'[1]Pozostałe informacje'!C6</f>
        <v>7683</v>
      </c>
      <c r="E47" s="28">
        <f>'[1]Pozostałe informacje'!D6</f>
        <v>7831</v>
      </c>
      <c r="F47" s="28">
        <f>'[1]Pozostałe informacje'!E6</f>
        <v>8074</v>
      </c>
      <c r="G47" s="27">
        <f>'[1]Pozostałe informacje'!F6</f>
        <v>8188</v>
      </c>
      <c r="H47" s="28">
        <f>'[1]Pozostałe informacje'!G6</f>
        <v>8387</v>
      </c>
      <c r="I47" s="28">
        <f>'[1]Pozostałe informacje'!H6</f>
        <v>8434</v>
      </c>
      <c r="J47" s="29">
        <f>'[1]Pozostałe informacje'!I6</f>
        <v>8577</v>
      </c>
      <c r="K47" s="27">
        <f>'[1]Pozostałe informacje'!J6</f>
        <v>8522</v>
      </c>
      <c r="L47" s="28">
        <f>'[1]Pozostałe informacje'!K6</f>
        <v>8378</v>
      </c>
      <c r="M47" s="28">
        <f>'[1]Pozostałe informacje'!L6</f>
        <v>8291</v>
      </c>
      <c r="N47" s="29">
        <f>'[1]Pozostałe informacje'!M6</f>
        <v>8291</v>
      </c>
      <c r="O47" s="27">
        <f>'[1]Pozostałe informacje'!N6</f>
        <v>8327</v>
      </c>
      <c r="P47" s="28">
        <f>'[1]Pozostałe informacje'!O6</f>
        <v>8438</v>
      </c>
      <c r="Q47" s="28">
        <f>'[1]Pozostałe informacje'!P6</f>
        <v>8525</v>
      </c>
      <c r="R47" s="29">
        <f>'[1]Pozostałe informacje'!Q6</f>
        <v>8472</v>
      </c>
      <c r="S47" s="27">
        <f>'[1]Pozostałe informacje'!R6</f>
        <v>8522</v>
      </c>
      <c r="T47" s="28">
        <f>'[1]Pozostałe informacje'!S6</f>
        <v>8502</v>
      </c>
      <c r="U47" s="28">
        <f>'[1]Pozostałe informacje'!T6</f>
        <v>8398</v>
      </c>
      <c r="V47" s="29">
        <f>'[1]Pozostałe informacje'!U6</f>
        <v>8409</v>
      </c>
      <c r="W47" s="28">
        <f>'[1]Pozostałe informacje'!V6</f>
        <v>8665</v>
      </c>
      <c r="X47" s="28">
        <f>'[1]Pozostałe informacje'!W6</f>
        <v>8712</v>
      </c>
    </row>
    <row r="48" spans="1:26" x14ac:dyDescent="0.2">
      <c r="A48" s="31"/>
      <c r="B48" s="31"/>
      <c r="C48" s="91"/>
      <c r="D48" s="91"/>
      <c r="E48" s="91"/>
      <c r="F48" s="91"/>
      <c r="G48" s="91"/>
      <c r="H48" s="91"/>
      <c r="I48" s="91"/>
      <c r="J48" s="91"/>
      <c r="K48" s="91"/>
      <c r="L48" s="91"/>
      <c r="M48" s="91"/>
      <c r="N48" s="91"/>
      <c r="O48" s="91"/>
      <c r="P48" s="91"/>
      <c r="Q48" s="91"/>
      <c r="R48" s="91"/>
      <c r="S48" s="91"/>
      <c r="T48" s="91"/>
      <c r="U48" s="91"/>
      <c r="V48" s="91"/>
      <c r="W48" s="91"/>
      <c r="X48" s="91"/>
    </row>
    <row r="49" spans="1:24" x14ac:dyDescent="0.2">
      <c r="A49" s="92" t="s">
        <v>560</v>
      </c>
      <c r="B49" s="92" t="s">
        <v>244</v>
      </c>
      <c r="C49" s="93"/>
      <c r="D49" s="93"/>
      <c r="E49" s="93"/>
      <c r="F49" s="93"/>
      <c r="G49" s="93"/>
      <c r="H49" s="93"/>
      <c r="I49" s="93"/>
      <c r="J49" s="93"/>
      <c r="K49" s="93"/>
      <c r="L49" s="93"/>
      <c r="M49" s="93"/>
      <c r="N49" s="93"/>
      <c r="O49" s="93"/>
      <c r="P49" s="93"/>
      <c r="Q49" s="93"/>
      <c r="R49" s="93"/>
      <c r="S49" s="93"/>
      <c r="T49" s="93"/>
      <c r="U49" s="93"/>
      <c r="V49" s="93"/>
      <c r="W49" s="93"/>
      <c r="X49" s="93"/>
    </row>
    <row r="50" spans="1:24" x14ac:dyDescent="0.2">
      <c r="A50" s="92" t="s">
        <v>561</v>
      </c>
      <c r="B50" s="92" t="s">
        <v>245</v>
      </c>
      <c r="C50" s="93"/>
      <c r="D50" s="93"/>
      <c r="E50" s="93"/>
      <c r="F50" s="93"/>
      <c r="G50" s="93"/>
      <c r="H50" s="93"/>
      <c r="I50" s="93"/>
      <c r="J50" s="93"/>
      <c r="K50" s="93"/>
      <c r="L50" s="93"/>
      <c r="M50" s="93"/>
      <c r="N50" s="93"/>
      <c r="O50" s="93"/>
      <c r="P50" s="93"/>
      <c r="Q50" s="93"/>
      <c r="R50" s="93"/>
      <c r="S50" s="93"/>
      <c r="T50" s="93"/>
      <c r="U50" s="93"/>
      <c r="V50" s="93"/>
      <c r="W50" s="93"/>
      <c r="X50" s="93"/>
    </row>
    <row r="51" spans="1:24" x14ac:dyDescent="0.2">
      <c r="A51" s="94" t="s">
        <v>562</v>
      </c>
      <c r="B51" s="94" t="s">
        <v>251</v>
      </c>
      <c r="C51" s="95"/>
      <c r="D51" s="95"/>
      <c r="E51" s="95"/>
      <c r="F51" s="95"/>
      <c r="G51" s="95"/>
      <c r="H51" s="95"/>
      <c r="I51" s="95"/>
      <c r="J51" s="95"/>
      <c r="K51" s="95"/>
      <c r="L51" s="95"/>
      <c r="M51" s="95"/>
      <c r="N51" s="95"/>
      <c r="O51" s="95"/>
      <c r="P51" s="95"/>
      <c r="Q51" s="95"/>
      <c r="R51" s="95"/>
      <c r="S51" s="95"/>
      <c r="T51" s="95"/>
      <c r="U51" s="95"/>
      <c r="V51" s="95"/>
      <c r="W51" s="95"/>
      <c r="X51" s="95"/>
    </row>
    <row r="52" spans="1:24" x14ac:dyDescent="0.2">
      <c r="A52" s="92" t="s">
        <v>507</v>
      </c>
      <c r="B52" s="92" t="s">
        <v>246</v>
      </c>
      <c r="C52" s="95"/>
      <c r="D52" s="95"/>
      <c r="E52" s="95"/>
      <c r="F52" s="95"/>
      <c r="G52" s="95"/>
      <c r="H52" s="95"/>
      <c r="I52" s="95"/>
      <c r="J52" s="95"/>
      <c r="K52" s="95"/>
      <c r="L52" s="95"/>
      <c r="M52" s="95"/>
      <c r="N52" s="95"/>
      <c r="O52" s="95"/>
      <c r="P52" s="95"/>
      <c r="Q52" s="95"/>
      <c r="R52" s="95"/>
      <c r="S52" s="95"/>
      <c r="T52" s="95"/>
      <c r="U52" s="95"/>
      <c r="V52" s="95"/>
      <c r="W52" s="95"/>
      <c r="X52" s="95"/>
    </row>
    <row r="53" spans="1:24" x14ac:dyDescent="0.2">
      <c r="A53" s="92" t="s">
        <v>504</v>
      </c>
      <c r="B53" s="92" t="s">
        <v>247</v>
      </c>
      <c r="C53" s="93"/>
      <c r="D53" s="93"/>
      <c r="E53" s="93"/>
      <c r="F53" s="93"/>
      <c r="G53" s="93"/>
      <c r="H53" s="93"/>
      <c r="I53" s="93"/>
      <c r="J53" s="93"/>
      <c r="K53" s="93"/>
      <c r="L53" s="93"/>
      <c r="M53" s="93"/>
      <c r="N53" s="93"/>
      <c r="O53" s="93"/>
      <c r="P53" s="93"/>
      <c r="Q53" s="93"/>
      <c r="R53" s="93"/>
      <c r="S53" s="93"/>
      <c r="T53" s="93"/>
      <c r="U53" s="93"/>
      <c r="V53" s="93"/>
      <c r="W53" s="93"/>
      <c r="X53" s="93"/>
    </row>
    <row r="54" spans="1:24" x14ac:dyDescent="0.2">
      <c r="A54" s="92" t="s">
        <v>506</v>
      </c>
      <c r="B54" s="92" t="s">
        <v>559</v>
      </c>
      <c r="C54" s="93"/>
      <c r="D54" s="93"/>
      <c r="E54" s="93"/>
      <c r="F54" s="93"/>
      <c r="G54" s="93"/>
      <c r="H54" s="93"/>
      <c r="I54" s="93"/>
      <c r="J54" s="93"/>
      <c r="K54" s="93"/>
      <c r="L54" s="93"/>
      <c r="M54" s="93"/>
      <c r="N54" s="93"/>
      <c r="O54" s="93"/>
      <c r="P54" s="93"/>
      <c r="Q54" s="93"/>
      <c r="R54" s="93"/>
      <c r="S54" s="93"/>
      <c r="T54" s="93"/>
      <c r="U54" s="93"/>
      <c r="V54" s="93"/>
      <c r="W54" s="93"/>
      <c r="X54" s="93"/>
    </row>
    <row r="55" spans="1:24" x14ac:dyDescent="0.2">
      <c r="A55" s="92" t="s">
        <v>714</v>
      </c>
      <c r="B55" s="92" t="s">
        <v>715</v>
      </c>
    </row>
    <row r="56" spans="1:24" x14ac:dyDescent="0.2">
      <c r="A56" s="1"/>
      <c r="B56" s="1"/>
    </row>
    <row r="57" spans="1:24" x14ac:dyDescent="0.2">
      <c r="A57" s="1"/>
      <c r="B57" s="1"/>
    </row>
  </sheetData>
  <mergeCells count="8">
    <mergeCell ref="S2:V2"/>
    <mergeCell ref="W2:X2"/>
    <mergeCell ref="A2:A3"/>
    <mergeCell ref="B2:B3"/>
    <mergeCell ref="C2:F2"/>
    <mergeCell ref="G2:J2"/>
    <mergeCell ref="K2:N2"/>
    <mergeCell ref="O2:R2"/>
  </mergeCells>
  <printOptions horizontalCentered="1"/>
  <pageMargins left="0.25" right="0.25" top="0.75" bottom="0.75" header="0.3" footer="0.3"/>
  <pageSetup paperSize="9" scale="54" fitToHeight="0" orientation="landscape" r:id="rId1"/>
  <headerFooter alignWithMargins="0">
    <oddHeader xml:space="preserve">&amp;C&amp;"Times New Roman,Kursywa"&amp;12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view="pageBreakPreview" topLeftCell="A2" zoomScaleNormal="100" zoomScaleSheetLayoutView="100" workbookViewId="0">
      <pane xSplit="2" ySplit="3" topLeftCell="G5" activePane="bottomRight" state="frozen"/>
      <selection activeCell="B1" sqref="B1"/>
      <selection pane="topRight" activeCell="B1" sqref="B1"/>
      <selection pane="bottomLeft" activeCell="B1" sqref="B1"/>
      <selection pane="bottomRight" activeCell="A5" sqref="A5:XFD5"/>
    </sheetView>
  </sheetViews>
  <sheetFormatPr defaultColWidth="8.85546875" defaultRowHeight="12.75" outlineLevelCol="1" x14ac:dyDescent="0.2"/>
  <cols>
    <col min="1" max="1" customWidth="true" style="2" width="39.7109375" collapsed="true"/>
    <col min="2" max="2" customWidth="true" hidden="true" style="2" width="47.140625" collapsed="true" outlineLevel="1"/>
    <col min="3" max="6" customWidth="true" hidden="true" style="3" width="7.85546875" collapsed="true" outlineLevel="1"/>
    <col min="7" max="7" customWidth="true" style="3" width="7.85546875" collapsed="true"/>
    <col min="8" max="24" bestFit="true" customWidth="true" style="3" width="7.0" collapsed="true"/>
    <col min="25" max="16384" style="3" width="8.85546875" collapsed="true"/>
  </cols>
  <sheetData>
    <row r="1" spans="1:24" ht="22.5" x14ac:dyDescent="0.2">
      <c r="C1" s="140" t="s">
        <v>594</v>
      </c>
      <c r="D1" s="140" t="s">
        <v>594</v>
      </c>
      <c r="E1" s="140" t="s">
        <v>594</v>
      </c>
      <c r="F1" s="140" t="s">
        <v>594</v>
      </c>
      <c r="G1" s="140" t="s">
        <v>594</v>
      </c>
    </row>
    <row r="2" spans="1:24" ht="12.75" customHeight="1" x14ac:dyDescent="0.2"/>
    <row r="3" spans="1:24" ht="12.75" customHeight="1" x14ac:dyDescent="0.2">
      <c r="A3" s="385" t="s">
        <v>413</v>
      </c>
      <c r="B3" s="385" t="s">
        <v>162</v>
      </c>
      <c r="C3" s="383" t="s">
        <v>728</v>
      </c>
      <c r="D3" s="384"/>
      <c r="E3" s="384"/>
      <c r="F3" s="384"/>
      <c r="G3" s="383">
        <v>2008</v>
      </c>
      <c r="H3" s="384"/>
      <c r="I3" s="384"/>
      <c r="J3" s="384"/>
      <c r="K3" s="383">
        <v>2009</v>
      </c>
      <c r="L3" s="384"/>
      <c r="M3" s="384"/>
      <c r="N3" s="384"/>
      <c r="O3" s="383">
        <v>2010</v>
      </c>
      <c r="P3" s="384"/>
      <c r="Q3" s="384"/>
      <c r="R3" s="384"/>
      <c r="S3" s="383">
        <v>2011</v>
      </c>
      <c r="T3" s="384"/>
      <c r="U3" s="384"/>
      <c r="V3" s="384"/>
      <c r="W3" s="383">
        <v>2012</v>
      </c>
      <c r="X3" s="384"/>
    </row>
    <row r="4" spans="1:24" s="4" customFormat="1" ht="21" customHeight="1" x14ac:dyDescent="0.2">
      <c r="A4" s="386"/>
      <c r="B4" s="386"/>
      <c r="C4" s="37" t="s">
        <v>727</v>
      </c>
      <c r="D4" s="38" t="s">
        <v>254</v>
      </c>
      <c r="E4" s="38" t="s">
        <v>255</v>
      </c>
      <c r="F4" s="38" t="s">
        <v>256</v>
      </c>
      <c r="G4" s="37" t="s">
        <v>726</v>
      </c>
      <c r="H4" s="38" t="s">
        <v>254</v>
      </c>
      <c r="I4" s="38" t="s">
        <v>255</v>
      </c>
      <c r="J4" s="38" t="s">
        <v>256</v>
      </c>
      <c r="K4" s="37" t="s">
        <v>253</v>
      </c>
      <c r="L4" s="38" t="s">
        <v>254</v>
      </c>
      <c r="M4" s="38" t="s">
        <v>255</v>
      </c>
      <c r="N4" s="38" t="s">
        <v>256</v>
      </c>
      <c r="O4" s="37" t="s">
        <v>253</v>
      </c>
      <c r="P4" s="38" t="s">
        <v>254</v>
      </c>
      <c r="Q4" s="38" t="s">
        <v>255</v>
      </c>
      <c r="R4" s="38" t="s">
        <v>256</v>
      </c>
      <c r="S4" s="37" t="s">
        <v>253</v>
      </c>
      <c r="T4" s="38" t="s">
        <v>254</v>
      </c>
      <c r="U4" s="38" t="s">
        <v>255</v>
      </c>
      <c r="V4" s="38" t="s">
        <v>256</v>
      </c>
      <c r="W4" s="37" t="s">
        <v>253</v>
      </c>
      <c r="X4" s="38" t="s">
        <v>254</v>
      </c>
    </row>
    <row r="5" spans="1:24" s="4" customFormat="1" x14ac:dyDescent="0.2">
      <c r="A5" s="21" t="s">
        <v>258</v>
      </c>
      <c r="B5" s="21" t="s">
        <v>15</v>
      </c>
      <c r="C5" s="17"/>
      <c r="D5" s="7"/>
      <c r="E5" s="6"/>
      <c r="F5" s="7"/>
      <c r="G5" s="17"/>
      <c r="H5" s="7"/>
      <c r="I5" s="6"/>
      <c r="J5" s="18"/>
      <c r="K5" s="17"/>
      <c r="L5" s="7"/>
      <c r="M5" s="6"/>
      <c r="N5" s="18"/>
      <c r="O5" s="17"/>
      <c r="P5" s="7"/>
      <c r="Q5" s="6"/>
      <c r="R5" s="18"/>
      <c r="S5" s="17"/>
      <c r="T5" s="7"/>
      <c r="U5" s="6"/>
      <c r="V5" s="18"/>
      <c r="W5" s="6"/>
      <c r="X5" s="6"/>
    </row>
    <row r="6" spans="1:24" s="8" customFormat="1" x14ac:dyDescent="0.2">
      <c r="A6" s="98" t="s">
        <v>414</v>
      </c>
      <c r="B6" s="98" t="s">
        <v>163</v>
      </c>
      <c r="C6" s="141"/>
      <c r="D6" s="142"/>
      <c r="E6" s="142"/>
      <c r="F6" s="142"/>
      <c r="G6" s="141"/>
      <c r="H6" s="43"/>
      <c r="I6" s="43"/>
      <c r="J6" s="44"/>
      <c r="K6" s="42"/>
      <c r="L6" s="43"/>
      <c r="M6" s="43"/>
      <c r="N6" s="44"/>
      <c r="O6" s="42"/>
      <c r="P6" s="43"/>
      <c r="Q6" s="43"/>
      <c r="R6" s="44"/>
      <c r="S6" s="42"/>
      <c r="T6" s="43"/>
      <c r="U6" s="43"/>
      <c r="V6" s="44"/>
      <c r="W6" s="43"/>
      <c r="X6" s="43"/>
    </row>
    <row r="7" spans="1:24" s="8" customFormat="1" x14ac:dyDescent="0.2">
      <c r="A7" s="40" t="s">
        <v>415</v>
      </c>
      <c r="B7" s="40" t="s">
        <v>164</v>
      </c>
      <c r="C7" s="143"/>
      <c r="D7" s="144"/>
      <c r="E7" s="144"/>
      <c r="F7" s="144"/>
      <c r="G7" s="143"/>
      <c r="H7" s="50">
        <f t="shared" ref="H7:X7" si="0">H8+H9</f>
        <v>14077</v>
      </c>
      <c r="I7" s="50">
        <f t="shared" si="0"/>
        <v>15652.6</v>
      </c>
      <c r="J7" s="51">
        <f t="shared" si="0"/>
        <v>16356.6</v>
      </c>
      <c r="K7" s="49">
        <f t="shared" si="0"/>
        <v>16938.7</v>
      </c>
      <c r="L7" s="50">
        <f t="shared" si="0"/>
        <v>16519.7</v>
      </c>
      <c r="M7" s="50">
        <f t="shared" si="0"/>
        <v>16406.7</v>
      </c>
      <c r="N7" s="51">
        <f t="shared" si="0"/>
        <v>16959.2</v>
      </c>
      <c r="O7" s="49">
        <f t="shared" si="0"/>
        <v>16699.2</v>
      </c>
      <c r="P7" s="50">
        <f t="shared" si="0"/>
        <v>17178.399999999998</v>
      </c>
      <c r="Q7" s="50">
        <f t="shared" si="0"/>
        <v>18031.7</v>
      </c>
      <c r="R7" s="51">
        <f t="shared" si="0"/>
        <v>18405.499999999996</v>
      </c>
      <c r="S7" s="49">
        <f t="shared" si="0"/>
        <v>18791.5</v>
      </c>
      <c r="T7" s="50">
        <f t="shared" si="0"/>
        <v>19882.2</v>
      </c>
      <c r="U7" s="50">
        <f t="shared" si="0"/>
        <v>21021.1</v>
      </c>
      <c r="V7" s="51">
        <f t="shared" si="0"/>
        <v>22370.100000000002</v>
      </c>
      <c r="W7" s="50">
        <f t="shared" si="0"/>
        <v>27679.899999999998</v>
      </c>
      <c r="X7" s="50">
        <f t="shared" si="0"/>
        <v>28091.600000000006</v>
      </c>
    </row>
    <row r="8" spans="1:24" s="8" customFormat="1" x14ac:dyDescent="0.2">
      <c r="A8" s="41" t="s">
        <v>416</v>
      </c>
      <c r="B8" s="41" t="s">
        <v>165</v>
      </c>
      <c r="C8" s="145"/>
      <c r="D8" s="146"/>
      <c r="E8" s="146"/>
      <c r="F8" s="146"/>
      <c r="G8" s="145"/>
      <c r="H8" s="43">
        <v>13853.8</v>
      </c>
      <c r="I8" s="43">
        <v>15392.1</v>
      </c>
      <c r="J8" s="44">
        <v>16008.9</v>
      </c>
      <c r="K8" s="42">
        <v>16192.8</v>
      </c>
      <c r="L8" s="43">
        <v>15663.4</v>
      </c>
      <c r="M8" s="43">
        <v>15612.1</v>
      </c>
      <c r="N8" s="44">
        <v>15987.2</v>
      </c>
      <c r="O8" s="42">
        <v>15659.5</v>
      </c>
      <c r="P8" s="43">
        <v>16131.8</v>
      </c>
      <c r="Q8" s="43">
        <v>16892.5</v>
      </c>
      <c r="R8" s="44">
        <v>17227.899999999998</v>
      </c>
      <c r="S8" s="42">
        <v>17606.8</v>
      </c>
      <c r="T8" s="43">
        <v>18735.900000000001</v>
      </c>
      <c r="U8" s="43">
        <v>19831.8</v>
      </c>
      <c r="V8" s="44">
        <v>21236.9</v>
      </c>
      <c r="W8" s="43">
        <v>26498.399999999998</v>
      </c>
      <c r="X8" s="43">
        <v>26636.100000000006</v>
      </c>
    </row>
    <row r="9" spans="1:24" s="4" customFormat="1" x14ac:dyDescent="0.2">
      <c r="A9" s="97" t="s">
        <v>417</v>
      </c>
      <c r="B9" s="97" t="s">
        <v>166</v>
      </c>
      <c r="C9" s="145"/>
      <c r="D9" s="146"/>
      <c r="E9" s="146"/>
      <c r="F9" s="146"/>
      <c r="G9" s="145"/>
      <c r="H9" s="43">
        <v>223.2</v>
      </c>
      <c r="I9" s="43">
        <v>260.5</v>
      </c>
      <c r="J9" s="44">
        <v>347.7</v>
      </c>
      <c r="K9" s="42">
        <v>745.9</v>
      </c>
      <c r="L9" s="43">
        <v>856.3</v>
      </c>
      <c r="M9" s="43">
        <v>794.6</v>
      </c>
      <c r="N9" s="44">
        <v>972</v>
      </c>
      <c r="O9" s="42">
        <v>1039.7</v>
      </c>
      <c r="P9" s="43">
        <v>1046.5999999999999</v>
      </c>
      <c r="Q9" s="43">
        <v>1139.2</v>
      </c>
      <c r="R9" s="44">
        <v>1177.5999999999999</v>
      </c>
      <c r="S9" s="42">
        <v>1184.7</v>
      </c>
      <c r="T9" s="43">
        <v>1146.3</v>
      </c>
      <c r="U9" s="43">
        <v>1189.3</v>
      </c>
      <c r="V9" s="44">
        <v>1133.2</v>
      </c>
      <c r="W9" s="43">
        <v>1181.5</v>
      </c>
      <c r="X9" s="43">
        <v>1455.5</v>
      </c>
    </row>
    <row r="10" spans="1:24" s="10" customFormat="1" x14ac:dyDescent="0.2">
      <c r="A10" s="108" t="s">
        <v>418</v>
      </c>
      <c r="B10" s="108" t="s">
        <v>167</v>
      </c>
      <c r="C10" s="143"/>
      <c r="D10" s="144"/>
      <c r="E10" s="144"/>
      <c r="F10" s="144"/>
      <c r="G10" s="143"/>
      <c r="H10" s="50">
        <f t="shared" ref="H10:X10" si="1">SUM(H11:H13)</f>
        <v>268.3</v>
      </c>
      <c r="I10" s="50">
        <f t="shared" si="1"/>
        <v>271.5</v>
      </c>
      <c r="J10" s="51">
        <f t="shared" si="1"/>
        <v>338.7</v>
      </c>
      <c r="K10" s="49">
        <f t="shared" si="1"/>
        <v>500.6</v>
      </c>
      <c r="L10" s="50">
        <f t="shared" si="1"/>
        <v>571.20000000000005</v>
      </c>
      <c r="M10" s="50">
        <f t="shared" si="1"/>
        <v>612.79999999999995</v>
      </c>
      <c r="N10" s="51">
        <f t="shared" si="1"/>
        <v>666.7</v>
      </c>
      <c r="O10" s="49">
        <f t="shared" si="1"/>
        <v>694.30000000000007</v>
      </c>
      <c r="P10" s="50">
        <f t="shared" si="1"/>
        <v>723.3</v>
      </c>
      <c r="Q10" s="50">
        <f t="shared" si="1"/>
        <v>762.30000000000007</v>
      </c>
      <c r="R10" s="51">
        <f t="shared" si="1"/>
        <v>785.6</v>
      </c>
      <c r="S10" s="49">
        <f t="shared" si="1"/>
        <v>795.19999999999993</v>
      </c>
      <c r="T10" s="50">
        <f t="shared" si="1"/>
        <v>798.7</v>
      </c>
      <c r="U10" s="50">
        <f t="shared" si="1"/>
        <v>818.4</v>
      </c>
      <c r="V10" s="51">
        <f t="shared" si="1"/>
        <v>736.4</v>
      </c>
      <c r="W10" s="50">
        <f t="shared" si="1"/>
        <v>805.4</v>
      </c>
      <c r="X10" s="50">
        <f t="shared" si="1"/>
        <v>845.2</v>
      </c>
    </row>
    <row r="11" spans="1:24" s="10" customFormat="1" x14ac:dyDescent="0.2">
      <c r="A11" s="97" t="s">
        <v>419</v>
      </c>
      <c r="B11" s="97" t="s">
        <v>168</v>
      </c>
      <c r="C11" s="145"/>
      <c r="D11" s="146"/>
      <c r="E11" s="146"/>
      <c r="F11" s="146"/>
      <c r="G11" s="145"/>
      <c r="H11" s="43">
        <v>77.2</v>
      </c>
      <c r="I11" s="43">
        <v>71.3</v>
      </c>
      <c r="J11" s="44">
        <v>71.2</v>
      </c>
      <c r="K11" s="42">
        <v>75.3</v>
      </c>
      <c r="L11" s="43">
        <f>84.6-0.5</f>
        <v>84.1</v>
      </c>
      <c r="M11" s="43">
        <f>96.5-0.9</f>
        <v>95.6</v>
      </c>
      <c r="N11" s="44">
        <f>77.2-2</f>
        <v>75.2</v>
      </c>
      <c r="O11" s="42">
        <f>76-3.3</f>
        <v>72.7</v>
      </c>
      <c r="P11" s="43">
        <f>72.7-3.3</f>
        <v>69.400000000000006</v>
      </c>
      <c r="Q11" s="43">
        <f>70.3-3.1</f>
        <v>67.2</v>
      </c>
      <c r="R11" s="44">
        <f>62.1-0.2</f>
        <v>61.9</v>
      </c>
      <c r="S11" s="42">
        <f>56-0.2</f>
        <v>55.8</v>
      </c>
      <c r="T11" s="43">
        <f>60.3-0.2</f>
        <v>60.099999999999994</v>
      </c>
      <c r="U11" s="43">
        <f>65.9-0.3</f>
        <v>65.600000000000009</v>
      </c>
      <c r="V11" s="44">
        <f>63-0.2</f>
        <v>62.8</v>
      </c>
      <c r="W11" s="43">
        <v>79.2</v>
      </c>
      <c r="X11" s="43">
        <v>86.399999999999977</v>
      </c>
    </row>
    <row r="12" spans="1:24" s="10" customFormat="1" x14ac:dyDescent="0.2">
      <c r="A12" s="99" t="s">
        <v>420</v>
      </c>
      <c r="B12" s="99" t="s">
        <v>169</v>
      </c>
      <c r="C12" s="145"/>
      <c r="D12" s="146"/>
      <c r="E12" s="146"/>
      <c r="F12" s="146"/>
      <c r="G12" s="145"/>
      <c r="H12" s="43">
        <v>184.8</v>
      </c>
      <c r="I12" s="43">
        <v>192.9</v>
      </c>
      <c r="J12" s="44">
        <v>258.2</v>
      </c>
      <c r="K12" s="42">
        <v>408.8</v>
      </c>
      <c r="L12" s="43">
        <v>473.6</v>
      </c>
      <c r="M12" s="43">
        <v>502.3</v>
      </c>
      <c r="N12" s="44">
        <v>571.4</v>
      </c>
      <c r="O12" s="42">
        <v>604.20000000000005</v>
      </c>
      <c r="P12" s="43">
        <v>636.29999999999995</v>
      </c>
      <c r="Q12" s="43">
        <v>685.9</v>
      </c>
      <c r="R12" s="44">
        <v>712.6</v>
      </c>
      <c r="S12" s="42">
        <v>729.5</v>
      </c>
      <c r="T12" s="43">
        <v>728</v>
      </c>
      <c r="U12" s="43">
        <v>743.8</v>
      </c>
      <c r="V12" s="44">
        <v>663</v>
      </c>
      <c r="W12" s="43">
        <v>711.3</v>
      </c>
      <c r="X12" s="43">
        <v>741.2</v>
      </c>
    </row>
    <row r="13" spans="1:24" s="8" customFormat="1" x14ac:dyDescent="0.2">
      <c r="A13" s="99" t="s">
        <v>421</v>
      </c>
      <c r="B13" s="99" t="s">
        <v>170</v>
      </c>
      <c r="C13" s="145"/>
      <c r="D13" s="146"/>
      <c r="E13" s="146"/>
      <c r="F13" s="146"/>
      <c r="G13" s="145"/>
      <c r="H13" s="43">
        <v>6.3</v>
      </c>
      <c r="I13" s="43">
        <v>7.3</v>
      </c>
      <c r="J13" s="44">
        <v>9.3000000000000007</v>
      </c>
      <c r="K13" s="42">
        <v>16.5</v>
      </c>
      <c r="L13" s="43">
        <v>13.5</v>
      </c>
      <c r="M13" s="43">
        <v>14.9</v>
      </c>
      <c r="N13" s="44">
        <v>20.100000000000001</v>
      </c>
      <c r="O13" s="42">
        <v>17.399999999999999</v>
      </c>
      <c r="P13" s="43">
        <v>17.600000000000001</v>
      </c>
      <c r="Q13" s="43">
        <v>9.1999999999999993</v>
      </c>
      <c r="R13" s="44">
        <v>11.1</v>
      </c>
      <c r="S13" s="42">
        <v>9.9</v>
      </c>
      <c r="T13" s="43">
        <v>10.6</v>
      </c>
      <c r="U13" s="43">
        <v>9</v>
      </c>
      <c r="V13" s="44">
        <v>10.6</v>
      </c>
      <c r="W13" s="43">
        <v>14.9</v>
      </c>
      <c r="X13" s="43">
        <v>17.600000000000001</v>
      </c>
    </row>
    <row r="14" spans="1:24" s="8" customFormat="1" x14ac:dyDescent="0.2">
      <c r="A14" s="99" t="s">
        <v>422</v>
      </c>
      <c r="B14" s="99"/>
      <c r="C14" s="145"/>
      <c r="D14" s="146"/>
      <c r="E14" s="146"/>
      <c r="F14" s="146"/>
      <c r="G14" s="145"/>
      <c r="H14" s="43"/>
      <c r="I14" s="43"/>
      <c r="J14" s="44"/>
      <c r="K14" s="42"/>
      <c r="L14" s="43"/>
      <c r="M14" s="43"/>
      <c r="N14" s="44"/>
      <c r="O14" s="42"/>
      <c r="P14" s="43"/>
      <c r="Q14" s="43"/>
      <c r="R14" s="44"/>
      <c r="S14" s="42"/>
      <c r="T14" s="43"/>
      <c r="U14" s="43"/>
      <c r="V14" s="44"/>
      <c r="W14" s="43"/>
      <c r="X14" s="43"/>
    </row>
    <row r="15" spans="1:24" s="10" customFormat="1" ht="22.5" x14ac:dyDescent="0.2">
      <c r="A15" s="99" t="s">
        <v>513</v>
      </c>
      <c r="B15" s="99" t="s">
        <v>595</v>
      </c>
      <c r="C15" s="147"/>
      <c r="D15" s="148"/>
      <c r="E15" s="148"/>
      <c r="F15" s="148"/>
      <c r="G15" s="147"/>
      <c r="H15" s="149">
        <f t="shared" ref="H15:X15" si="2">H9/H7</f>
        <v>1.5855651062016054E-2</v>
      </c>
      <c r="I15" s="149">
        <f t="shared" si="2"/>
        <v>1.6642602506931756E-2</v>
      </c>
      <c r="J15" s="150">
        <f t="shared" si="2"/>
        <v>2.1257474047173618E-2</v>
      </c>
      <c r="K15" s="151">
        <f t="shared" si="2"/>
        <v>4.4035256542709886E-2</v>
      </c>
      <c r="L15" s="149">
        <f t="shared" si="2"/>
        <v>5.1835081750879246E-2</v>
      </c>
      <c r="M15" s="149">
        <f t="shared" si="2"/>
        <v>4.8431433499728768E-2</v>
      </c>
      <c r="N15" s="150">
        <f t="shared" si="2"/>
        <v>5.7314024246426717E-2</v>
      </c>
      <c r="O15" s="151">
        <f t="shared" si="2"/>
        <v>6.2260467567308617E-2</v>
      </c>
      <c r="P15" s="149">
        <f t="shared" si="2"/>
        <v>6.0925348111581991E-2</v>
      </c>
      <c r="Q15" s="149">
        <f t="shared" si="2"/>
        <v>6.3177626069644013E-2</v>
      </c>
      <c r="R15" s="150">
        <f t="shared" si="2"/>
        <v>6.3980875281845109E-2</v>
      </c>
      <c r="S15" s="151">
        <f t="shared" si="2"/>
        <v>6.3044461591677092E-2</v>
      </c>
      <c r="T15" s="149">
        <f t="shared" si="2"/>
        <v>5.7654585508645918E-2</v>
      </c>
      <c r="U15" s="149">
        <f t="shared" si="2"/>
        <v>5.6576487434054357E-2</v>
      </c>
      <c r="V15" s="150">
        <f t="shared" si="2"/>
        <v>5.0656903634762468E-2</v>
      </c>
      <c r="W15" s="149">
        <f t="shared" si="2"/>
        <v>4.2684402761570671E-2</v>
      </c>
      <c r="X15" s="149">
        <f t="shared" si="2"/>
        <v>5.1812641501374067E-2</v>
      </c>
    </row>
    <row r="16" spans="1:24" s="10" customFormat="1" x14ac:dyDescent="0.2">
      <c r="A16" s="99" t="s">
        <v>423</v>
      </c>
      <c r="B16" s="99" t="s">
        <v>596</v>
      </c>
      <c r="C16" s="147"/>
      <c r="D16" s="148"/>
      <c r="E16" s="148"/>
      <c r="F16" s="148"/>
      <c r="G16" s="147"/>
      <c r="H16" s="149">
        <f t="shared" ref="H16:X16" si="3">H12/H9</f>
        <v>0.82795698924731187</v>
      </c>
      <c r="I16" s="149">
        <f t="shared" si="3"/>
        <v>0.74049904030710179</v>
      </c>
      <c r="J16" s="150">
        <f t="shared" si="3"/>
        <v>0.74259419039401786</v>
      </c>
      <c r="K16" s="151">
        <f t="shared" si="3"/>
        <v>0.54806274299503954</v>
      </c>
      <c r="L16" s="149">
        <f t="shared" si="3"/>
        <v>0.5530771925726965</v>
      </c>
      <c r="M16" s="149">
        <f t="shared" si="3"/>
        <v>0.63214195821797126</v>
      </c>
      <c r="N16" s="150">
        <f t="shared" si="3"/>
        <v>0.58786008230452669</v>
      </c>
      <c r="O16" s="151">
        <f t="shared" si="3"/>
        <v>0.58112917187650281</v>
      </c>
      <c r="P16" s="149">
        <f t="shared" si="3"/>
        <v>0.60796866042423081</v>
      </c>
      <c r="Q16" s="149">
        <f t="shared" si="3"/>
        <v>0.6020891853932584</v>
      </c>
      <c r="R16" s="150">
        <f t="shared" si="3"/>
        <v>0.60512907608695654</v>
      </c>
      <c r="S16" s="151">
        <f t="shared" si="3"/>
        <v>0.61576770490419508</v>
      </c>
      <c r="T16" s="149">
        <f t="shared" si="3"/>
        <v>0.63508680101195147</v>
      </c>
      <c r="U16" s="149">
        <f t="shared" si="3"/>
        <v>0.62540990498612625</v>
      </c>
      <c r="V16" s="150">
        <f t="shared" si="3"/>
        <v>0.58506883162725021</v>
      </c>
      <c r="W16" s="149">
        <f t="shared" si="3"/>
        <v>0.60203131612357175</v>
      </c>
      <c r="X16" s="149">
        <f t="shared" si="3"/>
        <v>0.50924081071796634</v>
      </c>
    </row>
    <row r="17" spans="1:24" s="10" customFormat="1" x14ac:dyDescent="0.2">
      <c r="A17" s="99"/>
      <c r="B17" s="99"/>
      <c r="C17" s="145"/>
      <c r="D17" s="146"/>
      <c r="E17" s="146"/>
      <c r="F17" s="146"/>
      <c r="G17" s="145"/>
      <c r="H17" s="43"/>
      <c r="I17" s="43"/>
      <c r="J17" s="44"/>
      <c r="K17" s="42"/>
      <c r="L17" s="43"/>
      <c r="M17" s="43"/>
      <c r="N17" s="44"/>
      <c r="O17" s="42"/>
      <c r="P17" s="43"/>
      <c r="Q17" s="43"/>
      <c r="R17" s="44"/>
      <c r="S17" s="42"/>
      <c r="T17" s="43"/>
      <c r="U17" s="43"/>
      <c r="V17" s="44"/>
      <c r="W17" s="43"/>
      <c r="X17" s="43"/>
    </row>
    <row r="18" spans="1:24" s="10" customFormat="1" x14ac:dyDescent="0.2">
      <c r="A18" s="108" t="s">
        <v>424</v>
      </c>
      <c r="B18" s="108" t="s">
        <v>171</v>
      </c>
      <c r="C18" s="145"/>
      <c r="D18" s="146"/>
      <c r="E18" s="146"/>
      <c r="F18" s="146"/>
      <c r="G18" s="145"/>
      <c r="H18" s="43"/>
      <c r="I18" s="43"/>
      <c r="J18" s="44"/>
      <c r="K18" s="42"/>
      <c r="L18" s="43"/>
      <c r="M18" s="43"/>
      <c r="N18" s="44"/>
      <c r="O18" s="42"/>
      <c r="P18" s="43"/>
      <c r="Q18" s="43"/>
      <c r="R18" s="44"/>
      <c r="S18" s="42"/>
      <c r="T18" s="43"/>
      <c r="U18" s="43"/>
      <c r="V18" s="44"/>
      <c r="W18" s="43"/>
      <c r="X18" s="43"/>
    </row>
    <row r="19" spans="1:24" s="10" customFormat="1" x14ac:dyDescent="0.2">
      <c r="A19" s="108" t="s">
        <v>415</v>
      </c>
      <c r="B19" s="108" t="s">
        <v>164</v>
      </c>
      <c r="C19" s="143"/>
      <c r="D19" s="144"/>
      <c r="E19" s="144"/>
      <c r="F19" s="144"/>
      <c r="G19" s="143"/>
      <c r="H19" s="50">
        <f t="shared" ref="H19:X19" si="4">H20+H21</f>
        <v>5723.8</v>
      </c>
      <c r="I19" s="50">
        <f t="shared" si="4"/>
        <v>6439.6</v>
      </c>
      <c r="J19" s="51">
        <f t="shared" si="4"/>
        <v>7300.9000000000005</v>
      </c>
      <c r="K19" s="49">
        <f t="shared" si="4"/>
        <v>8041</v>
      </c>
      <c r="L19" s="50">
        <f t="shared" si="4"/>
        <v>8639.7999999999993</v>
      </c>
      <c r="M19" s="50">
        <f t="shared" si="4"/>
        <v>9190.2000000000007</v>
      </c>
      <c r="N19" s="51">
        <f t="shared" si="4"/>
        <v>9756.8000000000011</v>
      </c>
      <c r="O19" s="49">
        <f t="shared" si="4"/>
        <v>10220.700000000001</v>
      </c>
      <c r="P19" s="50">
        <f t="shared" si="4"/>
        <v>11104.1</v>
      </c>
      <c r="Q19" s="50">
        <f t="shared" si="4"/>
        <v>11614.3</v>
      </c>
      <c r="R19" s="51">
        <f t="shared" si="4"/>
        <v>12594.8</v>
      </c>
      <c r="S19" s="49">
        <f t="shared" si="4"/>
        <v>13076.2</v>
      </c>
      <c r="T19" s="50">
        <f t="shared" si="4"/>
        <v>13804.3</v>
      </c>
      <c r="U19" s="50">
        <f t="shared" si="4"/>
        <v>14540.6</v>
      </c>
      <c r="V19" s="51">
        <f t="shared" si="4"/>
        <v>15008.9</v>
      </c>
      <c r="W19" s="50">
        <f t="shared" si="4"/>
        <v>15278.5</v>
      </c>
      <c r="X19" s="50">
        <f t="shared" si="4"/>
        <v>15835.199999999999</v>
      </c>
    </row>
    <row r="20" spans="1:24" s="10" customFormat="1" x14ac:dyDescent="0.2">
      <c r="A20" s="41" t="s">
        <v>416</v>
      </c>
      <c r="B20" s="41" t="s">
        <v>165</v>
      </c>
      <c r="C20" s="145"/>
      <c r="D20" s="146"/>
      <c r="E20" s="146"/>
      <c r="F20" s="146"/>
      <c r="G20" s="145"/>
      <c r="H20" s="43">
        <v>5582.2</v>
      </c>
      <c r="I20" s="43">
        <v>6306.1</v>
      </c>
      <c r="J20" s="44">
        <v>7146.3</v>
      </c>
      <c r="K20" s="42">
        <v>7889</v>
      </c>
      <c r="L20" s="43">
        <v>8469.5</v>
      </c>
      <c r="M20" s="43">
        <v>9018.2000000000007</v>
      </c>
      <c r="N20" s="44">
        <v>9564.1</v>
      </c>
      <c r="O20" s="42">
        <v>9982.2000000000007</v>
      </c>
      <c r="P20" s="43">
        <v>10841.9</v>
      </c>
      <c r="Q20" s="43">
        <v>11323</v>
      </c>
      <c r="R20" s="44">
        <v>12264.8</v>
      </c>
      <c r="S20" s="42">
        <v>12736</v>
      </c>
      <c r="T20" s="43">
        <v>13432.4</v>
      </c>
      <c r="U20" s="43">
        <v>14140.6</v>
      </c>
      <c r="V20" s="44">
        <v>14589.1</v>
      </c>
      <c r="W20" s="43">
        <v>14837.9</v>
      </c>
      <c r="X20" s="43">
        <v>15370.199999999999</v>
      </c>
    </row>
    <row r="21" spans="1:24" s="10" customFormat="1" x14ac:dyDescent="0.2">
      <c r="A21" s="41" t="s">
        <v>417</v>
      </c>
      <c r="B21" s="41" t="s">
        <v>166</v>
      </c>
      <c r="C21" s="145"/>
      <c r="D21" s="146"/>
      <c r="E21" s="146"/>
      <c r="F21" s="146"/>
      <c r="G21" s="145"/>
      <c r="H21" s="43">
        <v>141.6</v>
      </c>
      <c r="I21" s="43">
        <v>133.5</v>
      </c>
      <c r="J21" s="44">
        <v>154.6</v>
      </c>
      <c r="K21" s="42">
        <v>152</v>
      </c>
      <c r="L21" s="43">
        <v>170.3</v>
      </c>
      <c r="M21" s="43">
        <v>172</v>
      </c>
      <c r="N21" s="44">
        <v>192.7</v>
      </c>
      <c r="O21" s="42">
        <v>238.5</v>
      </c>
      <c r="P21" s="43">
        <v>262.2</v>
      </c>
      <c r="Q21" s="43">
        <v>291.3</v>
      </c>
      <c r="R21" s="44">
        <v>330</v>
      </c>
      <c r="S21" s="42">
        <v>340.2</v>
      </c>
      <c r="T21" s="43">
        <v>371.9</v>
      </c>
      <c r="U21" s="43">
        <v>400</v>
      </c>
      <c r="V21" s="44">
        <v>419.8</v>
      </c>
      <c r="W21" s="43">
        <v>440.6</v>
      </c>
      <c r="X21" s="43">
        <v>465</v>
      </c>
    </row>
    <row r="22" spans="1:24" x14ac:dyDescent="0.2">
      <c r="A22" s="108" t="s">
        <v>418</v>
      </c>
      <c r="B22" s="108" t="s">
        <v>167</v>
      </c>
      <c r="C22" s="143"/>
      <c r="D22" s="144"/>
      <c r="E22" s="144"/>
      <c r="F22" s="144"/>
      <c r="G22" s="143"/>
      <c r="H22" s="50">
        <f t="shared" ref="H22:X22" si="5">SUM(H23:H25)</f>
        <v>132.69999999999999</v>
      </c>
      <c r="I22" s="50">
        <f t="shared" si="5"/>
        <v>141.19999999999999</v>
      </c>
      <c r="J22" s="51">
        <f t="shared" si="5"/>
        <v>164.2</v>
      </c>
      <c r="K22" s="49">
        <f t="shared" si="5"/>
        <v>180.7</v>
      </c>
      <c r="L22" s="50">
        <f t="shared" si="5"/>
        <v>198.29999999999998</v>
      </c>
      <c r="M22" s="50">
        <f t="shared" si="5"/>
        <v>202.6</v>
      </c>
      <c r="N22" s="51">
        <f t="shared" si="5"/>
        <v>224.1</v>
      </c>
      <c r="O22" s="49">
        <f t="shared" si="5"/>
        <v>246</v>
      </c>
      <c r="P22" s="50">
        <f t="shared" si="5"/>
        <v>259</v>
      </c>
      <c r="Q22" s="50">
        <f t="shared" si="5"/>
        <v>280.89999999999998</v>
      </c>
      <c r="R22" s="51">
        <f t="shared" si="5"/>
        <v>305.5</v>
      </c>
      <c r="S22" s="49">
        <f t="shared" si="5"/>
        <v>334.9</v>
      </c>
      <c r="T22" s="50">
        <f t="shared" si="5"/>
        <v>348.7</v>
      </c>
      <c r="U22" s="50">
        <f t="shared" si="5"/>
        <v>369.59999999999997</v>
      </c>
      <c r="V22" s="51">
        <f t="shared" si="5"/>
        <v>382.79999999999995</v>
      </c>
      <c r="W22" s="50">
        <f t="shared" si="5"/>
        <v>400.9</v>
      </c>
      <c r="X22" s="50">
        <f t="shared" si="5"/>
        <v>426.70000000000005</v>
      </c>
    </row>
    <row r="23" spans="1:24" x14ac:dyDescent="0.2">
      <c r="A23" s="97" t="s">
        <v>419</v>
      </c>
      <c r="B23" s="97" t="s">
        <v>172</v>
      </c>
      <c r="C23" s="145"/>
      <c r="D23" s="146"/>
      <c r="E23" s="146"/>
      <c r="F23" s="146"/>
      <c r="G23" s="145"/>
      <c r="H23" s="43">
        <f>27.1+1.4</f>
        <v>28.5</v>
      </c>
      <c r="I23" s="43">
        <f>31.7+1.1</f>
        <v>32.799999999999997</v>
      </c>
      <c r="J23" s="44">
        <f>44.8+0.1</f>
        <v>44.9</v>
      </c>
      <c r="K23" s="42">
        <v>51.7</v>
      </c>
      <c r="L23" s="43">
        <v>56.6</v>
      </c>
      <c r="M23" s="43">
        <v>63.9</v>
      </c>
      <c r="N23" s="44">
        <v>75.900000000000006</v>
      </c>
      <c r="O23" s="42">
        <v>85.6</v>
      </c>
      <c r="P23" s="43">
        <v>88.1</v>
      </c>
      <c r="Q23" s="43">
        <v>92.2</v>
      </c>
      <c r="R23" s="44">
        <v>90.1</v>
      </c>
      <c r="S23" s="42">
        <v>98.4</v>
      </c>
      <c r="T23" s="43">
        <v>97.8</v>
      </c>
      <c r="U23" s="43">
        <v>98.7</v>
      </c>
      <c r="V23" s="44">
        <v>96.9</v>
      </c>
      <c r="W23" s="43">
        <v>95.899999999999991</v>
      </c>
      <c r="X23" s="43">
        <v>96.9</v>
      </c>
    </row>
    <row r="24" spans="1:24" x14ac:dyDescent="0.2">
      <c r="A24" s="41" t="s">
        <v>420</v>
      </c>
      <c r="B24" s="41" t="s">
        <v>173</v>
      </c>
      <c r="C24" s="145"/>
      <c r="D24" s="146"/>
      <c r="E24" s="146"/>
      <c r="F24" s="146"/>
      <c r="G24" s="145"/>
      <c r="H24" s="43">
        <v>104.2</v>
      </c>
      <c r="I24" s="43">
        <v>108.4</v>
      </c>
      <c r="J24" s="44">
        <v>119.3</v>
      </c>
      <c r="K24" s="42">
        <v>129</v>
      </c>
      <c r="L24" s="43">
        <v>141.69999999999999</v>
      </c>
      <c r="M24" s="43">
        <v>138.69999999999999</v>
      </c>
      <c r="N24" s="44">
        <v>148.19999999999999</v>
      </c>
      <c r="O24" s="42">
        <v>160.4</v>
      </c>
      <c r="P24" s="43">
        <v>170.9</v>
      </c>
      <c r="Q24" s="43">
        <v>188.7</v>
      </c>
      <c r="R24" s="44">
        <v>215.4</v>
      </c>
      <c r="S24" s="42">
        <v>236.5</v>
      </c>
      <c r="T24" s="43">
        <v>250.9</v>
      </c>
      <c r="U24" s="43">
        <v>270.89999999999998</v>
      </c>
      <c r="V24" s="44">
        <v>285.89999999999998</v>
      </c>
      <c r="W24" s="43">
        <v>305</v>
      </c>
      <c r="X24" s="43">
        <v>329.8</v>
      </c>
    </row>
    <row r="25" spans="1:24" s="8" customFormat="1" x14ac:dyDescent="0.2">
      <c r="A25" s="41" t="s">
        <v>421</v>
      </c>
      <c r="B25" s="41" t="s">
        <v>170</v>
      </c>
      <c r="C25" s="145"/>
      <c r="D25" s="146"/>
      <c r="E25" s="146"/>
      <c r="F25" s="146"/>
      <c r="G25" s="145"/>
      <c r="H25" s="43">
        <v>0</v>
      </c>
      <c r="I25" s="43">
        <v>0</v>
      </c>
      <c r="J25" s="44">
        <v>0</v>
      </c>
      <c r="K25" s="42">
        <v>0</v>
      </c>
      <c r="L25" s="43">
        <v>0</v>
      </c>
      <c r="M25" s="43">
        <v>0</v>
      </c>
      <c r="N25" s="44">
        <v>0</v>
      </c>
      <c r="O25" s="42">
        <v>0</v>
      </c>
      <c r="P25" s="43">
        <v>0</v>
      </c>
      <c r="Q25" s="43">
        <v>0</v>
      </c>
      <c r="R25" s="44">
        <v>0</v>
      </c>
      <c r="S25" s="42">
        <v>0</v>
      </c>
      <c r="T25" s="43">
        <v>0</v>
      </c>
      <c r="U25" s="43">
        <v>0</v>
      </c>
      <c r="V25" s="44">
        <v>0</v>
      </c>
      <c r="W25" s="43">
        <v>0</v>
      </c>
      <c r="X25" s="43">
        <v>0</v>
      </c>
    </row>
    <row r="26" spans="1:24" x14ac:dyDescent="0.2">
      <c r="A26" s="41" t="s">
        <v>422</v>
      </c>
      <c r="B26" s="41"/>
      <c r="C26" s="145"/>
      <c r="D26" s="146"/>
      <c r="E26" s="146"/>
      <c r="F26" s="146"/>
      <c r="G26" s="145"/>
      <c r="H26" s="43"/>
      <c r="I26" s="43"/>
      <c r="J26" s="44"/>
      <c r="K26" s="42"/>
      <c r="L26" s="43"/>
      <c r="M26" s="43"/>
      <c r="N26" s="44"/>
      <c r="O26" s="42"/>
      <c r="P26" s="43"/>
      <c r="Q26" s="43"/>
      <c r="R26" s="44"/>
      <c r="S26" s="42"/>
      <c r="T26" s="43"/>
      <c r="U26" s="43"/>
      <c r="V26" s="44"/>
      <c r="W26" s="43"/>
      <c r="X26" s="43"/>
    </row>
    <row r="27" spans="1:24" ht="22.5" x14ac:dyDescent="0.2">
      <c r="A27" s="41" t="s">
        <v>513</v>
      </c>
      <c r="B27" s="41" t="s">
        <v>597</v>
      </c>
      <c r="C27" s="147"/>
      <c r="D27" s="148"/>
      <c r="E27" s="148"/>
      <c r="F27" s="148"/>
      <c r="G27" s="147"/>
      <c r="H27" s="149">
        <f t="shared" ref="H27:X27" si="6">H21/H19</f>
        <v>2.4738809881547221E-2</v>
      </c>
      <c r="I27" s="149">
        <f t="shared" si="6"/>
        <v>2.0731101310640411E-2</v>
      </c>
      <c r="J27" s="150">
        <f t="shared" si="6"/>
        <v>2.1175471517210203E-2</v>
      </c>
      <c r="K27" s="151">
        <f t="shared" si="6"/>
        <v>1.890312150230071E-2</v>
      </c>
      <c r="L27" s="149">
        <f t="shared" si="6"/>
        <v>1.9711104423713516E-2</v>
      </c>
      <c r="M27" s="149">
        <f t="shared" si="6"/>
        <v>1.8715588344105676E-2</v>
      </c>
      <c r="N27" s="150">
        <f t="shared" si="6"/>
        <v>1.9750327976385696E-2</v>
      </c>
      <c r="O27" s="151">
        <f t="shared" si="6"/>
        <v>2.3334996624497343E-2</v>
      </c>
      <c r="P27" s="149">
        <f t="shared" si="6"/>
        <v>2.3612899739735772E-2</v>
      </c>
      <c r="Q27" s="149">
        <f t="shared" si="6"/>
        <v>2.5081149961685166E-2</v>
      </c>
      <c r="R27" s="150">
        <f t="shared" si="6"/>
        <v>2.6201289421030904E-2</v>
      </c>
      <c r="S27" s="151">
        <f t="shared" si="6"/>
        <v>2.6016732689925205E-2</v>
      </c>
      <c r="T27" s="149">
        <f t="shared" si="6"/>
        <v>2.6940880740059257E-2</v>
      </c>
      <c r="U27" s="149">
        <f t="shared" si="6"/>
        <v>2.7509181189221903E-2</v>
      </c>
      <c r="V27" s="150">
        <f t="shared" si="6"/>
        <v>2.7970071091152585E-2</v>
      </c>
      <c r="W27" s="149">
        <f t="shared" si="6"/>
        <v>2.8837909480642736E-2</v>
      </c>
      <c r="X27" s="149">
        <f t="shared" si="6"/>
        <v>2.936495907850864E-2</v>
      </c>
    </row>
    <row r="28" spans="1:24" s="10" customFormat="1" x14ac:dyDescent="0.2">
      <c r="A28" s="41" t="s">
        <v>423</v>
      </c>
      <c r="B28" s="41" t="s">
        <v>596</v>
      </c>
      <c r="C28" s="147"/>
      <c r="D28" s="148"/>
      <c r="E28" s="148"/>
      <c r="F28" s="148"/>
      <c r="G28" s="147"/>
      <c r="H28" s="149">
        <f t="shared" ref="H28:X28" si="7">H24/H21</f>
        <v>0.73587570621468934</v>
      </c>
      <c r="I28" s="149">
        <f t="shared" si="7"/>
        <v>0.81198501872659179</v>
      </c>
      <c r="J28" s="150">
        <f t="shared" si="7"/>
        <v>0.77166882276843463</v>
      </c>
      <c r="K28" s="151">
        <f t="shared" si="7"/>
        <v>0.84868421052631582</v>
      </c>
      <c r="L28" s="149">
        <f t="shared" si="7"/>
        <v>0.83206106870228991</v>
      </c>
      <c r="M28" s="149">
        <f t="shared" si="7"/>
        <v>0.8063953488372092</v>
      </c>
      <c r="N28" s="150">
        <f t="shared" si="7"/>
        <v>0.7690710949662688</v>
      </c>
      <c r="O28" s="151">
        <f t="shared" si="7"/>
        <v>0.67253668763102725</v>
      </c>
      <c r="P28" s="149">
        <f t="shared" si="7"/>
        <v>0.65179252479023653</v>
      </c>
      <c r="Q28" s="149">
        <f t="shared" si="7"/>
        <v>0.64778578784757979</v>
      </c>
      <c r="R28" s="150">
        <f t="shared" si="7"/>
        <v>0.65272727272727271</v>
      </c>
      <c r="S28" s="151">
        <f t="shared" si="7"/>
        <v>0.69517930629041746</v>
      </c>
      <c r="T28" s="149">
        <f t="shared" si="7"/>
        <v>0.67464372143049212</v>
      </c>
      <c r="U28" s="149">
        <f t="shared" si="7"/>
        <v>0.67724999999999991</v>
      </c>
      <c r="V28" s="150">
        <f t="shared" si="7"/>
        <v>0.6810385898046688</v>
      </c>
      <c r="W28" s="149">
        <f t="shared" si="7"/>
        <v>0.69223785746709032</v>
      </c>
      <c r="X28" s="149">
        <f t="shared" si="7"/>
        <v>0.70924731182795697</v>
      </c>
    </row>
    <row r="29" spans="1:24" x14ac:dyDescent="0.2">
      <c r="A29" s="41"/>
      <c r="B29" s="41"/>
      <c r="C29" s="152"/>
      <c r="D29" s="153"/>
      <c r="E29" s="153"/>
      <c r="F29" s="153"/>
      <c r="G29" s="152"/>
      <c r="H29" s="28"/>
      <c r="I29" s="28"/>
      <c r="J29" s="29"/>
      <c r="K29" s="27"/>
      <c r="L29" s="28"/>
      <c r="M29" s="28"/>
      <c r="N29" s="29"/>
      <c r="O29" s="27"/>
      <c r="P29" s="28"/>
      <c r="Q29" s="28"/>
      <c r="R29" s="29"/>
      <c r="S29" s="27"/>
      <c r="T29" s="28"/>
      <c r="U29" s="28"/>
      <c r="V29" s="29"/>
      <c r="W29" s="28"/>
      <c r="X29" s="28"/>
    </row>
    <row r="30" spans="1:24" s="14" customFormat="1" x14ac:dyDescent="0.2">
      <c r="A30" s="109" t="s">
        <v>425</v>
      </c>
      <c r="B30" s="109" t="s">
        <v>174</v>
      </c>
      <c r="C30" s="154"/>
      <c r="D30" s="155"/>
      <c r="E30" s="155"/>
      <c r="F30" s="155"/>
      <c r="G30" s="154"/>
      <c r="H30" s="104">
        <f>H7+H19</f>
        <v>19800.8</v>
      </c>
      <c r="I30" s="104">
        <f t="shared" ref="I30:X30" si="8">I7+I19</f>
        <v>22092.2</v>
      </c>
      <c r="J30" s="105">
        <f t="shared" si="8"/>
        <v>23657.5</v>
      </c>
      <c r="K30" s="103">
        <f t="shared" si="8"/>
        <v>24979.7</v>
      </c>
      <c r="L30" s="104">
        <f t="shared" si="8"/>
        <v>25159.5</v>
      </c>
      <c r="M30" s="104">
        <f t="shared" si="8"/>
        <v>25596.9</v>
      </c>
      <c r="N30" s="105">
        <f t="shared" si="8"/>
        <v>26716</v>
      </c>
      <c r="O30" s="103">
        <f t="shared" si="8"/>
        <v>26919.9</v>
      </c>
      <c r="P30" s="104">
        <f t="shared" si="8"/>
        <v>28282.5</v>
      </c>
      <c r="Q30" s="104">
        <f t="shared" si="8"/>
        <v>29646</v>
      </c>
      <c r="R30" s="105">
        <f t="shared" si="8"/>
        <v>31000.299999999996</v>
      </c>
      <c r="S30" s="103">
        <f t="shared" si="8"/>
        <v>31867.7</v>
      </c>
      <c r="T30" s="104">
        <f t="shared" si="8"/>
        <v>33686.5</v>
      </c>
      <c r="U30" s="104">
        <f t="shared" si="8"/>
        <v>35561.699999999997</v>
      </c>
      <c r="V30" s="105">
        <f t="shared" si="8"/>
        <v>37379</v>
      </c>
      <c r="W30" s="104">
        <f t="shared" si="8"/>
        <v>42958.399999999994</v>
      </c>
      <c r="X30" s="104">
        <f t="shared" si="8"/>
        <v>43926.8</v>
      </c>
    </row>
    <row r="31" spans="1:24" x14ac:dyDescent="0.2">
      <c r="A31" s="26"/>
      <c r="B31" s="26"/>
      <c r="C31" s="145"/>
      <c r="D31" s="146"/>
      <c r="E31" s="146"/>
      <c r="F31" s="146"/>
      <c r="G31" s="145"/>
      <c r="H31" s="43"/>
      <c r="I31" s="43"/>
      <c r="J31" s="44"/>
      <c r="K31" s="42"/>
      <c r="L31" s="43"/>
      <c r="M31" s="43"/>
      <c r="N31" s="44"/>
      <c r="O31" s="42"/>
      <c r="P31" s="43"/>
      <c r="Q31" s="43"/>
      <c r="R31" s="44"/>
      <c r="S31" s="42"/>
      <c r="T31" s="43"/>
      <c r="U31" s="43"/>
      <c r="V31" s="44"/>
      <c r="W31" s="43"/>
      <c r="X31" s="43"/>
    </row>
    <row r="32" spans="1:24" s="14" customFormat="1" ht="21" customHeight="1" x14ac:dyDescent="0.2">
      <c r="A32" s="109" t="s">
        <v>426</v>
      </c>
      <c r="B32" s="109" t="s">
        <v>175</v>
      </c>
      <c r="C32" s="154"/>
      <c r="D32" s="155"/>
      <c r="E32" s="155"/>
      <c r="F32" s="155"/>
      <c r="G32" s="154"/>
      <c r="H32" s="104">
        <f t="shared" ref="H32:X32" si="9">H33+H34</f>
        <v>401</v>
      </c>
      <c r="I32" s="104">
        <f t="shared" si="9"/>
        <v>412.7</v>
      </c>
      <c r="J32" s="105">
        <f t="shared" si="9"/>
        <v>502.9</v>
      </c>
      <c r="K32" s="103">
        <f t="shared" si="9"/>
        <v>681.30000000000007</v>
      </c>
      <c r="L32" s="104">
        <f t="shared" si="9"/>
        <v>769.5</v>
      </c>
      <c r="M32" s="104">
        <f t="shared" si="9"/>
        <v>815.4</v>
      </c>
      <c r="N32" s="105">
        <f t="shared" si="9"/>
        <v>890.80000000000007</v>
      </c>
      <c r="O32" s="103">
        <f t="shared" si="9"/>
        <v>940.30000000000007</v>
      </c>
      <c r="P32" s="104">
        <f t="shared" si="9"/>
        <v>982.3</v>
      </c>
      <c r="Q32" s="104">
        <f t="shared" si="9"/>
        <v>1043.2</v>
      </c>
      <c r="R32" s="105">
        <f t="shared" si="9"/>
        <v>1091.0999999999999</v>
      </c>
      <c r="S32" s="103">
        <f t="shared" si="9"/>
        <v>1130.0999999999999</v>
      </c>
      <c r="T32" s="104">
        <f t="shared" si="9"/>
        <v>1147.3999999999999</v>
      </c>
      <c r="U32" s="104">
        <f t="shared" si="9"/>
        <v>1188</v>
      </c>
      <c r="V32" s="105">
        <f t="shared" si="9"/>
        <v>1119.1999999999998</v>
      </c>
      <c r="W32" s="104">
        <f t="shared" si="9"/>
        <v>1206.3000000000002</v>
      </c>
      <c r="X32" s="104">
        <f t="shared" si="9"/>
        <v>1271.8999999999999</v>
      </c>
    </row>
    <row r="33" spans="1:24" x14ac:dyDescent="0.2">
      <c r="A33" s="41" t="s">
        <v>427</v>
      </c>
      <c r="B33" s="41" t="s">
        <v>176</v>
      </c>
      <c r="C33" s="145"/>
      <c r="D33" s="146"/>
      <c r="E33" s="146"/>
      <c r="F33" s="146"/>
      <c r="G33" s="145"/>
      <c r="H33" s="43">
        <f t="shared" ref="H33:X33" si="10">H11+H12+H23+H24</f>
        <v>394.7</v>
      </c>
      <c r="I33" s="43">
        <f t="shared" si="10"/>
        <v>405.4</v>
      </c>
      <c r="J33" s="44">
        <f t="shared" si="10"/>
        <v>493.59999999999997</v>
      </c>
      <c r="K33" s="42">
        <f t="shared" si="10"/>
        <v>664.80000000000007</v>
      </c>
      <c r="L33" s="43">
        <f t="shared" si="10"/>
        <v>756</v>
      </c>
      <c r="M33" s="43">
        <f t="shared" si="10"/>
        <v>800.5</v>
      </c>
      <c r="N33" s="44">
        <f t="shared" si="10"/>
        <v>870.7</v>
      </c>
      <c r="O33" s="42">
        <f t="shared" si="10"/>
        <v>922.90000000000009</v>
      </c>
      <c r="P33" s="43">
        <f t="shared" si="10"/>
        <v>964.69999999999993</v>
      </c>
      <c r="Q33" s="43">
        <f t="shared" si="10"/>
        <v>1034</v>
      </c>
      <c r="R33" s="44">
        <f t="shared" si="10"/>
        <v>1080</v>
      </c>
      <c r="S33" s="42">
        <f t="shared" si="10"/>
        <v>1120.1999999999998</v>
      </c>
      <c r="T33" s="43">
        <f t="shared" si="10"/>
        <v>1136.8</v>
      </c>
      <c r="U33" s="43">
        <f t="shared" si="10"/>
        <v>1179</v>
      </c>
      <c r="V33" s="44">
        <f t="shared" si="10"/>
        <v>1108.5999999999999</v>
      </c>
      <c r="W33" s="43">
        <f t="shared" si="10"/>
        <v>1191.4000000000001</v>
      </c>
      <c r="X33" s="43">
        <f t="shared" si="10"/>
        <v>1254.3</v>
      </c>
    </row>
    <row r="34" spans="1:24" x14ac:dyDescent="0.2">
      <c r="A34" s="41" t="s">
        <v>421</v>
      </c>
      <c r="B34" s="41" t="s">
        <v>177</v>
      </c>
      <c r="C34" s="145"/>
      <c r="D34" s="146"/>
      <c r="E34" s="146"/>
      <c r="F34" s="146"/>
      <c r="G34" s="145"/>
      <c r="H34" s="43">
        <f t="shared" ref="H34:X34" si="11">H13+H25</f>
        <v>6.3</v>
      </c>
      <c r="I34" s="43">
        <f t="shared" si="11"/>
        <v>7.3</v>
      </c>
      <c r="J34" s="44">
        <f t="shared" si="11"/>
        <v>9.3000000000000007</v>
      </c>
      <c r="K34" s="42">
        <f t="shared" si="11"/>
        <v>16.5</v>
      </c>
      <c r="L34" s="43">
        <f t="shared" si="11"/>
        <v>13.5</v>
      </c>
      <c r="M34" s="43">
        <f t="shared" si="11"/>
        <v>14.9</v>
      </c>
      <c r="N34" s="44">
        <f t="shared" si="11"/>
        <v>20.100000000000001</v>
      </c>
      <c r="O34" s="42">
        <f t="shared" si="11"/>
        <v>17.399999999999999</v>
      </c>
      <c r="P34" s="43">
        <f t="shared" si="11"/>
        <v>17.600000000000001</v>
      </c>
      <c r="Q34" s="43">
        <f t="shared" si="11"/>
        <v>9.1999999999999993</v>
      </c>
      <c r="R34" s="44">
        <f t="shared" si="11"/>
        <v>11.1</v>
      </c>
      <c r="S34" s="42">
        <f t="shared" si="11"/>
        <v>9.9</v>
      </c>
      <c r="T34" s="43">
        <f t="shared" si="11"/>
        <v>10.6</v>
      </c>
      <c r="U34" s="43">
        <f t="shared" si="11"/>
        <v>9</v>
      </c>
      <c r="V34" s="44">
        <f t="shared" si="11"/>
        <v>10.6</v>
      </c>
      <c r="W34" s="43">
        <f t="shared" si="11"/>
        <v>14.9</v>
      </c>
      <c r="X34" s="43">
        <f t="shared" si="11"/>
        <v>17.600000000000001</v>
      </c>
    </row>
    <row r="35" spans="1:24" x14ac:dyDescent="0.2">
      <c r="A35" s="41"/>
      <c r="B35" s="41"/>
      <c r="C35" s="152"/>
      <c r="D35" s="153"/>
      <c r="E35" s="153"/>
      <c r="F35" s="153"/>
      <c r="G35" s="152"/>
      <c r="H35" s="28"/>
      <c r="I35" s="28"/>
      <c r="J35" s="29"/>
      <c r="K35" s="27"/>
      <c r="L35" s="28"/>
      <c r="M35" s="28"/>
      <c r="N35" s="29"/>
      <c r="O35" s="27"/>
      <c r="P35" s="28"/>
      <c r="Q35" s="28"/>
      <c r="R35" s="29"/>
      <c r="S35" s="27"/>
      <c r="T35" s="28"/>
      <c r="U35" s="28"/>
      <c r="V35" s="29"/>
      <c r="W35" s="28"/>
      <c r="X35" s="28"/>
    </row>
    <row r="36" spans="1:24" x14ac:dyDescent="0.2">
      <c r="A36" s="41" t="s">
        <v>428</v>
      </c>
      <c r="B36" s="41" t="s">
        <v>178</v>
      </c>
      <c r="C36" s="147"/>
      <c r="D36" s="148"/>
      <c r="E36" s="148"/>
      <c r="F36" s="148"/>
      <c r="G36" s="147"/>
      <c r="H36" s="149">
        <f t="shared" ref="H36:X36" si="12">H32/H30</f>
        <v>2.0251707001737305E-2</v>
      </c>
      <c r="I36" s="149">
        <f t="shared" si="12"/>
        <v>1.86808013688089E-2</v>
      </c>
      <c r="J36" s="150">
        <f t="shared" si="12"/>
        <v>2.1257529324738456E-2</v>
      </c>
      <c r="K36" s="151">
        <f t="shared" si="12"/>
        <v>2.7274146607044924E-2</v>
      </c>
      <c r="L36" s="149">
        <f t="shared" si="12"/>
        <v>3.0584868538722946E-2</v>
      </c>
      <c r="M36" s="149">
        <f t="shared" si="12"/>
        <v>3.1855419992264683E-2</v>
      </c>
      <c r="N36" s="150">
        <f t="shared" si="12"/>
        <v>3.3343314867495137E-2</v>
      </c>
      <c r="O36" s="151">
        <f t="shared" si="12"/>
        <v>3.492955025835906E-2</v>
      </c>
      <c r="P36" s="149">
        <f t="shared" si="12"/>
        <v>3.4731724564660123E-2</v>
      </c>
      <c r="Q36" s="149">
        <f t="shared" si="12"/>
        <v>3.5188558321527355E-2</v>
      </c>
      <c r="R36" s="150">
        <f t="shared" si="12"/>
        <v>3.519643358290081E-2</v>
      </c>
      <c r="S36" s="151">
        <f t="shared" si="12"/>
        <v>3.5462239195172537E-2</v>
      </c>
      <c r="T36" s="149">
        <f t="shared" si="12"/>
        <v>3.4061122408086321E-2</v>
      </c>
      <c r="U36" s="149">
        <f t="shared" si="12"/>
        <v>3.3406726900007594E-2</v>
      </c>
      <c r="V36" s="150">
        <f t="shared" si="12"/>
        <v>2.9941946012466889E-2</v>
      </c>
      <c r="W36" s="149">
        <f t="shared" si="12"/>
        <v>2.808065477298969E-2</v>
      </c>
      <c r="X36" s="149">
        <f t="shared" si="12"/>
        <v>2.8954988754018043E-2</v>
      </c>
    </row>
    <row r="37" spans="1:24" x14ac:dyDescent="0.2">
      <c r="A37" s="41" t="s">
        <v>513</v>
      </c>
      <c r="B37" s="41" t="s">
        <v>598</v>
      </c>
      <c r="C37" s="147"/>
      <c r="D37" s="148"/>
      <c r="E37" s="148"/>
      <c r="F37" s="148"/>
      <c r="G37" s="147"/>
      <c r="H37" s="149">
        <f t="shared" ref="H37:X37" si="13">(H21+H9)/H30</f>
        <v>1.842349804048321E-2</v>
      </c>
      <c r="I37" s="149">
        <f t="shared" si="13"/>
        <v>1.7834348774680656E-2</v>
      </c>
      <c r="J37" s="150">
        <f t="shared" si="13"/>
        <v>2.123216738877734E-2</v>
      </c>
      <c r="K37" s="151">
        <f t="shared" si="13"/>
        <v>3.5945187492243701E-2</v>
      </c>
      <c r="L37" s="149">
        <f t="shared" si="13"/>
        <v>4.0803672569009714E-2</v>
      </c>
      <c r="M37" s="149">
        <f t="shared" si="13"/>
        <v>3.776238528884357E-2</v>
      </c>
      <c r="N37" s="150">
        <f t="shared" si="13"/>
        <v>4.3595598143434645E-2</v>
      </c>
      <c r="O37" s="151">
        <f t="shared" si="13"/>
        <v>4.7481602829133836E-2</v>
      </c>
      <c r="P37" s="149">
        <f t="shared" si="13"/>
        <v>4.6275965703173341E-2</v>
      </c>
      <c r="Q37" s="149">
        <f t="shared" si="13"/>
        <v>4.825271537475545E-2</v>
      </c>
      <c r="R37" s="150">
        <f t="shared" si="13"/>
        <v>4.8631787434315156E-2</v>
      </c>
      <c r="S37" s="151">
        <f t="shared" si="13"/>
        <v>4.7850958807821087E-2</v>
      </c>
      <c r="T37" s="149">
        <f t="shared" si="13"/>
        <v>4.5068499250441568E-2</v>
      </c>
      <c r="U37" s="149">
        <f t="shared" si="13"/>
        <v>4.4691339277931036E-2</v>
      </c>
      <c r="V37" s="150">
        <f t="shared" si="13"/>
        <v>4.1547392921158936E-2</v>
      </c>
      <c r="W37" s="149">
        <f t="shared" si="13"/>
        <v>3.7759786211776974E-2</v>
      </c>
      <c r="X37" s="149">
        <f t="shared" si="13"/>
        <v>4.3720462223517303E-2</v>
      </c>
    </row>
    <row r="38" spans="1:24" x14ac:dyDescent="0.2">
      <c r="A38" s="156" t="s">
        <v>423</v>
      </c>
      <c r="B38" s="156" t="s">
        <v>596</v>
      </c>
      <c r="C38" s="157"/>
      <c r="D38" s="158"/>
      <c r="E38" s="158"/>
      <c r="F38" s="158"/>
      <c r="G38" s="157"/>
      <c r="H38" s="159">
        <f t="shared" ref="H38:X38" si="14">(H24+H12)/(H21+H9)</f>
        <v>0.79221491228070184</v>
      </c>
      <c r="I38" s="159">
        <f t="shared" si="14"/>
        <v>0.76472081218274113</v>
      </c>
      <c r="J38" s="160">
        <f t="shared" si="14"/>
        <v>0.75154290264782009</v>
      </c>
      <c r="K38" s="161">
        <f t="shared" si="14"/>
        <v>0.59895311281879937</v>
      </c>
      <c r="L38" s="159">
        <f t="shared" si="14"/>
        <v>0.5993571011104617</v>
      </c>
      <c r="M38" s="159">
        <f t="shared" si="14"/>
        <v>0.66314918270225531</v>
      </c>
      <c r="N38" s="160">
        <f t="shared" si="14"/>
        <v>0.61784150425002138</v>
      </c>
      <c r="O38" s="161">
        <f t="shared" si="14"/>
        <v>0.59818494758253793</v>
      </c>
      <c r="P38" s="159">
        <f t="shared" si="14"/>
        <v>0.61674816625916873</v>
      </c>
      <c r="Q38" s="159">
        <f t="shared" si="14"/>
        <v>0.61139461726668987</v>
      </c>
      <c r="R38" s="160">
        <f t="shared" si="14"/>
        <v>0.61554789068718496</v>
      </c>
      <c r="S38" s="161">
        <f t="shared" si="14"/>
        <v>0.63348416289592757</v>
      </c>
      <c r="T38" s="159">
        <f t="shared" si="14"/>
        <v>0.64477670926096697</v>
      </c>
      <c r="U38" s="159">
        <f t="shared" si="14"/>
        <v>0.63845718240734917</v>
      </c>
      <c r="V38" s="160">
        <f t="shared" si="14"/>
        <v>0.61101094655505472</v>
      </c>
      <c r="W38" s="159">
        <f t="shared" si="14"/>
        <v>0.62653350594907842</v>
      </c>
      <c r="X38" s="159">
        <f t="shared" si="14"/>
        <v>0.55766727414735751</v>
      </c>
    </row>
    <row r="40" spans="1:24" s="120" customFormat="1" ht="11.25" hidden="1" x14ac:dyDescent="0.2">
      <c r="A40" s="118"/>
      <c r="B40" s="118" t="s">
        <v>599</v>
      </c>
      <c r="C40" s="162" t="s">
        <v>558</v>
      </c>
      <c r="D40" s="162" t="s">
        <v>558</v>
      </c>
      <c r="E40" s="162" t="s">
        <v>558</v>
      </c>
      <c r="F40" s="162" t="s">
        <v>558</v>
      </c>
      <c r="G40" s="162" t="s">
        <v>558</v>
      </c>
      <c r="H40" s="119">
        <f>H30-'[1]Kredyty udzielone klientom'!G4-'[1]Kredyty udzielone klientom'!G5-'[1]Kredyty udzielone klientom'!G6</f>
        <v>-2.1884716261411086E-12</v>
      </c>
      <c r="I40" s="119">
        <f>I30-'[1]Kredyty udzielone klientom'!H4-'[1]Kredyty udzielone klientom'!H5-'[1]Kredyty udzielone klientom'!H6</f>
        <v>-7.3896444519050419E-13</v>
      </c>
      <c r="J40" s="119">
        <f>J30-'[1]Kredyty udzielone klientom'!I4-'[1]Kredyty udzielone klientom'!I5-'[1]Kredyty udzielone klientom'!I6</f>
        <v>0</v>
      </c>
      <c r="K40" s="119">
        <f>K30-'[1]Kredyty udzielone klientom'!J4-'[1]Kredyty udzielone klientom'!J5-'[1]Kredyty udzielone klientom'!J6</f>
        <v>-1.4210854715202004E-12</v>
      </c>
      <c r="L40" s="119">
        <f>L30-'[1]Kredyty udzielone klientom'!K4-'[1]Kredyty udzielone klientom'!K5-'[1]Kredyty udzielone klientom'!K6</f>
        <v>0</v>
      </c>
      <c r="M40" s="119">
        <f>M30-'[1]Kredyty udzielone klientom'!L4-'[1]Kredyty udzielone klientom'!L5-'[1]Kredyty udzielone klientom'!L6</f>
        <v>3.637978807091713E-12</v>
      </c>
      <c r="N40" s="119">
        <f>N30-'[1]Kredyty udzielone klientom'!M4-'[1]Kredyty udzielone klientom'!M5-'[1]Kredyty udzielone klientom'!M6</f>
        <v>2.1884716261411086E-12</v>
      </c>
      <c r="O40" s="119">
        <f>O30-'[1]Kredyty udzielone klientom'!N4-'[1]Kredyty udzielone klientom'!N5-'[1]Kredyty udzielone klientom'!N6</f>
        <v>-1.4779288903810084E-12</v>
      </c>
      <c r="P40" s="119">
        <f>P30-'[1]Kredyty udzielone klientom'!O4-'[1]Kredyty udzielone klientom'!O5-'[1]Kredyty udzielone klientom'!O6</f>
        <v>-1.4495071809506044E-12</v>
      </c>
      <c r="Q40" s="119">
        <f>Q30-'[1]Kredyty udzielone klientom'!P4-'[1]Kredyty udzielone klientom'!P5-'[1]Kredyty udzielone klientom'!P6</f>
        <v>-7.3896444519050419E-13</v>
      </c>
      <c r="R40" s="119">
        <f>R30-'[1]Kredyty udzielone klientom'!Q4-'[1]Kredyty udzielone klientom'!Q5-'[1]Kredyty udzielone klientom'!Q6</f>
        <v>-4.3769432522822171E-12</v>
      </c>
      <c r="S40" s="119">
        <f>S30-'[1]Kredyty udzielone klientom'!R4-'[1]Kredyty udzielone klientom'!R5-'[1]Kredyty udzielone klientom'!R6</f>
        <v>3.637978807091713E-12</v>
      </c>
      <c r="T40" s="119">
        <f>T30-'[1]Kredyty udzielone klientom'!S4-'[1]Kredyty udzielone klientom'!S5-'[1]Kredyty udzielone klientom'!S6</f>
        <v>-1.4495071809506044E-12</v>
      </c>
      <c r="U40" s="119">
        <f>U30-'[1]Kredyty udzielone klientom'!T4-'[1]Kredyty udzielone klientom'!T5-'[1]Kredyty udzielone klientom'!T6</f>
        <v>-1.4779288903810084E-12</v>
      </c>
      <c r="V40" s="119">
        <f>V30-'[1]Kredyty udzielone klientom'!U4-'[1]Kredyty udzielone klientom'!U5-'[1]Kredyty udzielone klientom'!U6</f>
        <v>1.4210854715202004E-12</v>
      </c>
      <c r="W40" s="119">
        <f>W30-'[1]Kredyty udzielone klientom'!V4-'[1]Kredyty udzielone klientom'!V5-'[1]Kredyty udzielone klientom'!V6</f>
        <v>-5.9117155615240335E-12</v>
      </c>
      <c r="X40" s="119">
        <f>X30-'[1]Kredyty udzielone klientom'!W4-'[1]Kredyty udzielone klientom'!W5-'[1]Kredyty udzielone klientom'!W6</f>
        <v>7.2759576141834259E-12</v>
      </c>
    </row>
    <row r="41" spans="1:24" s="120" customFormat="1" ht="11.25" hidden="1" x14ac:dyDescent="0.2">
      <c r="A41" s="118"/>
      <c r="B41" s="118" t="s">
        <v>600</v>
      </c>
      <c r="C41" s="162" t="s">
        <v>558</v>
      </c>
      <c r="D41" s="162" t="s">
        <v>558</v>
      </c>
      <c r="E41" s="162" t="s">
        <v>558</v>
      </c>
      <c r="F41" s="162" t="s">
        <v>558</v>
      </c>
      <c r="G41" s="162" t="s">
        <v>558</v>
      </c>
      <c r="H41" s="119">
        <f>H33+'[1]Kredyty udzielone klientom'!G13+'[1]Kredyty udzielone klientom'!G14+'[1]Kredyty udzielone klientom'!G15</f>
        <v>3.4194869158454821E-14</v>
      </c>
      <c r="I41" s="119">
        <f>I33+'[1]Kredyty udzielone klientom'!H13+'[1]Kredyty udzielone klientom'!H14+'[1]Kredyty udzielone klientom'!H15</f>
        <v>-3.4194869158454821E-14</v>
      </c>
      <c r="J41" s="119">
        <f>J33+'[1]Kredyty udzielone klientom'!I13+'[1]Kredyty udzielone klientom'!I14+'[1]Kredyty udzielone klientom'!I15</f>
        <v>-2.2648549702353193E-14</v>
      </c>
      <c r="K41" s="119">
        <f>K33+'[1]Kredyty udzielone klientom'!J13+'[1]Kredyty udzielone klientom'!J14+'[1]Kredyty udzielone klientom'!J15</f>
        <v>0</v>
      </c>
      <c r="L41" s="119">
        <f>L33+'[1]Kredyty udzielone klientom'!K13+'[1]Kredyty udzielone klientom'!K14+'[1]Kredyty udzielone klientom'!K15</f>
        <v>6.8389738316909643E-14</v>
      </c>
      <c r="M41" s="119">
        <f>M33+'[1]Kredyty udzielone klientom'!L13+'[1]Kredyty udzielone klientom'!L14+'[1]Kredyty udzielone klientom'!L15</f>
        <v>-2.2648549702353193E-14</v>
      </c>
      <c r="N41" s="119">
        <f>N33+'[1]Kredyty udzielone klientom'!M13+'[1]Kredyty udzielone klientom'!M14+'[1]Kredyty udzielone klientom'!M15</f>
        <v>1.1368683772161603E-13</v>
      </c>
      <c r="O41" s="119">
        <f>O33+'[1]Kredyty udzielone klientom'!N13+'[1]Kredyty udzielone klientom'!N14+'[1]Kredyty udzielone klientom'!N15</f>
        <v>4.5297099404706387E-14</v>
      </c>
      <c r="P41" s="119">
        <f>P33+'[1]Kredyty udzielone klientom'!O13+'[1]Kredyty udzielone klientom'!O14+'[1]Kredyty udzielone klientom'!O15</f>
        <v>-2.2737367544323206E-13</v>
      </c>
      <c r="Q41" s="119">
        <f>Q33+'[1]Kredyty udzielone klientom'!P13+'[1]Kredyty udzielone klientom'!P14+'[1]Kredyty udzielone klientom'!P15</f>
        <v>-4.5297099404706387E-14</v>
      </c>
      <c r="R41" s="119">
        <f>R33+'[1]Kredyty udzielone klientom'!Q13+'[1]Kredyty udzielone klientom'!Q14+'[1]Kredyty udzielone klientom'!Q15</f>
        <v>-9.1038288019262836E-14</v>
      </c>
      <c r="S41" s="119">
        <f>S33+'[1]Kredyty udzielone klientom'!R13+'[1]Kredyty udzielone klientom'!R14+'[1]Kredyty udzielone klientom'!R15</f>
        <v>-9.1038288019262836E-14</v>
      </c>
      <c r="T41" s="119">
        <f>T33+'[1]Kredyty udzielone klientom'!S13+'[1]Kredyty udzielone klientom'!S14+'[1]Kredyty udzielone klientom'!S15</f>
        <v>-4.5297099404706387E-14</v>
      </c>
      <c r="U41" s="119">
        <f>U33+'[1]Kredyty udzielone klientom'!T13+'[1]Kredyty udzielone klientom'!T14+'[1]Kredyty udzielone klientom'!T15</f>
        <v>4.5297099404706387E-14</v>
      </c>
      <c r="V41" s="119">
        <f>V33+'[1]Kredyty udzielone klientom'!U13+'[1]Kredyty udzielone klientom'!U14+'[1]Kredyty udzielone klientom'!U15</f>
        <v>0</v>
      </c>
      <c r="W41" s="119">
        <f>W33+'[1]Kredyty udzielone klientom'!V13+'[1]Kredyty udzielone klientom'!V14+'[1]Kredyty udzielone klientom'!V15</f>
        <v>-4.7961634663806763E-14</v>
      </c>
      <c r="X41" s="119">
        <f>X33+'[1]Kredyty udzielone klientom'!W13+'[1]Kredyty udzielone klientom'!W14+'[1]Kredyty udzielone klientom'!W15</f>
        <v>-1.3322676295501878E-13</v>
      </c>
    </row>
  </sheetData>
  <mergeCells count="8">
    <mergeCell ref="O3:R3"/>
    <mergeCell ref="S3:V3"/>
    <mergeCell ref="W3:X3"/>
    <mergeCell ref="A3:A4"/>
    <mergeCell ref="B3:B4"/>
    <mergeCell ref="C3:F3"/>
    <mergeCell ref="G3:J3"/>
    <mergeCell ref="K3:N3"/>
  </mergeCells>
  <printOptions horizontalCentered="1"/>
  <pageMargins left="0.23622047244094491" right="0.23622047244094491" top="0.74803149606299213" bottom="0.74803149606299213" header="0.31496062992125984" footer="0.31496062992125984"/>
  <pageSetup paperSize="9" scale="56" orientation="landscape" r:id="rId1"/>
  <headerFooter alignWithMargins="0">
    <oddHeader xml:space="preserve">&amp;C&amp;"Times New Roman,Kursywa"&amp;12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8"/>
  <sheetViews>
    <sheetView showGridLines="0" view="pageBreakPreview" zoomScaleNormal="100" zoomScaleSheetLayoutView="10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8.85546875" defaultRowHeight="12.75" outlineLevelCol="1" x14ac:dyDescent="0.2"/>
  <cols>
    <col min="1" max="1" customWidth="true" style="2" width="36.7109375" collapsed="true"/>
    <col min="2" max="2" customWidth="true" hidden="true" style="2" width="41.0" collapsed="true" outlineLevel="1"/>
    <col min="3" max="3" bestFit="true" customWidth="true" style="3" width="7.0" collapsed="true"/>
    <col min="4" max="6" bestFit="true" customWidth="true" style="3" width="6.42578125" collapsed="true"/>
    <col min="7" max="24" bestFit="true" customWidth="true" style="3" width="7.0" collapsed="true"/>
    <col min="25" max="16384" style="3" width="8.85546875" collapsed="true"/>
  </cols>
  <sheetData>
    <row r="2" spans="1:24" x14ac:dyDescent="0.2">
      <c r="A2" s="385" t="s">
        <v>373</v>
      </c>
      <c r="B2" s="385" t="s">
        <v>120</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4"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4" s="4" customFormat="1" ht="12.75" customHeight="1" x14ac:dyDescent="0.2">
      <c r="A4" s="21" t="s">
        <v>258</v>
      </c>
      <c r="B4" s="21" t="s">
        <v>15</v>
      </c>
      <c r="C4" s="17"/>
      <c r="D4" s="7"/>
      <c r="E4" s="6"/>
      <c r="F4" s="7"/>
      <c r="G4" s="17"/>
      <c r="H4" s="7"/>
      <c r="I4" s="6"/>
      <c r="J4" s="18"/>
      <c r="K4" s="17"/>
      <c r="L4" s="7"/>
      <c r="M4" s="6"/>
      <c r="N4" s="18"/>
      <c r="O4" s="17"/>
      <c r="P4" s="7"/>
      <c r="Q4" s="6"/>
      <c r="R4" s="18"/>
      <c r="S4" s="17"/>
      <c r="T4" s="7"/>
      <c r="U4" s="6"/>
      <c r="V4" s="18"/>
      <c r="W4" s="6"/>
      <c r="X4" s="6"/>
    </row>
    <row r="5" spans="1:24" s="8" customFormat="1" ht="22.5" x14ac:dyDescent="0.2">
      <c r="A5" s="98" t="s">
        <v>374</v>
      </c>
      <c r="B5" s="98" t="s">
        <v>121</v>
      </c>
      <c r="C5" s="49">
        <f>C6+C7</f>
        <v>9044.1</v>
      </c>
      <c r="D5" s="50">
        <f t="shared" ref="D5:X5" si="0">D6+D7</f>
        <v>4325.6000000000004</v>
      </c>
      <c r="E5" s="50">
        <f t="shared" si="0"/>
        <v>5319.0999999999995</v>
      </c>
      <c r="F5" s="50">
        <f t="shared" si="0"/>
        <v>4411.7</v>
      </c>
      <c r="G5" s="49">
        <f t="shared" si="0"/>
        <v>4997</v>
      </c>
      <c r="H5" s="50">
        <f t="shared" si="0"/>
        <v>4816.1000000000004</v>
      </c>
      <c r="I5" s="50">
        <f t="shared" si="0"/>
        <v>7105</v>
      </c>
      <c r="J5" s="51">
        <f t="shared" si="0"/>
        <v>6116.9</v>
      </c>
      <c r="K5" s="49">
        <f t="shared" si="0"/>
        <v>10774.6</v>
      </c>
      <c r="L5" s="50">
        <f t="shared" si="0"/>
        <v>9938.7000000000007</v>
      </c>
      <c r="M5" s="50">
        <f t="shared" si="0"/>
        <v>11560.8</v>
      </c>
      <c r="N5" s="51">
        <f t="shared" si="0"/>
        <v>7533.6</v>
      </c>
      <c r="O5" s="49">
        <f t="shared" si="0"/>
        <v>3445.6</v>
      </c>
      <c r="P5" s="50">
        <f t="shared" si="0"/>
        <v>912</v>
      </c>
      <c r="Q5" s="50">
        <f t="shared" si="0"/>
        <v>2667.5</v>
      </c>
      <c r="R5" s="51">
        <f t="shared" si="0"/>
        <v>512.79999999999995</v>
      </c>
      <c r="S5" s="49">
        <f t="shared" si="0"/>
        <v>387.7</v>
      </c>
      <c r="T5" s="50">
        <f t="shared" si="0"/>
        <v>436.1</v>
      </c>
      <c r="U5" s="50">
        <f t="shared" si="0"/>
        <v>327.3</v>
      </c>
      <c r="V5" s="51">
        <f t="shared" si="0"/>
        <v>444.7</v>
      </c>
      <c r="W5" s="50">
        <f t="shared" si="0"/>
        <v>853.7</v>
      </c>
      <c r="X5" s="50">
        <f t="shared" si="0"/>
        <v>412.40000000000003</v>
      </c>
    </row>
    <row r="6" spans="1:24" s="8" customFormat="1" x14ac:dyDescent="0.2">
      <c r="A6" s="41" t="s">
        <v>375</v>
      </c>
      <c r="B6" s="41" t="s">
        <v>122</v>
      </c>
      <c r="C6" s="42">
        <v>9032.9</v>
      </c>
      <c r="D6" s="43">
        <v>4323.5</v>
      </c>
      <c r="E6" s="43">
        <v>5318.4</v>
      </c>
      <c r="F6" s="43">
        <v>4373.2</v>
      </c>
      <c r="G6" s="42">
        <v>4973.8999999999996</v>
      </c>
      <c r="H6" s="43">
        <v>4814</v>
      </c>
      <c r="I6" s="43">
        <v>7100.1</v>
      </c>
      <c r="J6" s="44">
        <v>6115.9</v>
      </c>
      <c r="K6" s="42">
        <v>10762.5</v>
      </c>
      <c r="L6" s="43">
        <v>9937.6</v>
      </c>
      <c r="M6" s="43">
        <v>11558.9</v>
      </c>
      <c r="N6" s="44">
        <v>7531.5</v>
      </c>
      <c r="O6" s="42">
        <v>3424.4</v>
      </c>
      <c r="P6" s="43">
        <v>904.7</v>
      </c>
      <c r="Q6" s="43">
        <v>2652.4</v>
      </c>
      <c r="R6" s="44">
        <v>489.9</v>
      </c>
      <c r="S6" s="42">
        <v>362.5</v>
      </c>
      <c r="T6" s="43">
        <v>431.1</v>
      </c>
      <c r="U6" s="43">
        <v>319.5</v>
      </c>
      <c r="V6" s="44">
        <v>444.7</v>
      </c>
      <c r="W6" s="43">
        <v>853.7</v>
      </c>
      <c r="X6" s="43">
        <v>412.40000000000003</v>
      </c>
    </row>
    <row r="7" spans="1:24" s="8" customFormat="1" x14ac:dyDescent="0.2">
      <c r="A7" s="41" t="s">
        <v>376</v>
      </c>
      <c r="B7" s="41" t="s">
        <v>123</v>
      </c>
      <c r="C7" s="42">
        <v>11.2</v>
      </c>
      <c r="D7" s="43">
        <v>2.1</v>
      </c>
      <c r="E7" s="43">
        <v>0.7</v>
      </c>
      <c r="F7" s="43">
        <v>38.5</v>
      </c>
      <c r="G7" s="42">
        <v>23.1</v>
      </c>
      <c r="H7" s="43">
        <v>2.1</v>
      </c>
      <c r="I7" s="43">
        <v>4.9000000000000004</v>
      </c>
      <c r="J7" s="44">
        <v>1</v>
      </c>
      <c r="K7" s="42">
        <v>12.1</v>
      </c>
      <c r="L7" s="43">
        <v>1.1000000000000001</v>
      </c>
      <c r="M7" s="43">
        <v>1.9</v>
      </c>
      <c r="N7" s="44">
        <v>2.1</v>
      </c>
      <c r="O7" s="42">
        <v>21.2</v>
      </c>
      <c r="P7" s="43">
        <v>7.3</v>
      </c>
      <c r="Q7" s="43">
        <v>15.1</v>
      </c>
      <c r="R7" s="44">
        <v>22.9</v>
      </c>
      <c r="S7" s="42">
        <v>25.2</v>
      </c>
      <c r="T7" s="43">
        <v>5</v>
      </c>
      <c r="U7" s="43">
        <v>7.8</v>
      </c>
      <c r="V7" s="44">
        <v>0</v>
      </c>
      <c r="W7" s="43">
        <v>0</v>
      </c>
      <c r="X7" s="43">
        <v>0</v>
      </c>
    </row>
    <row r="8" spans="1:24" s="4" customFormat="1" ht="28.15" customHeight="1" x14ac:dyDescent="0.2">
      <c r="A8" s="98" t="s">
        <v>735</v>
      </c>
      <c r="B8" s="98" t="s">
        <v>734</v>
      </c>
      <c r="C8" s="49">
        <f>C9+C10+C11</f>
        <v>1177</v>
      </c>
      <c r="D8" s="50">
        <f t="shared" ref="D8:X8" si="1">D9+D10+D11</f>
        <v>1822.6999999999998</v>
      </c>
      <c r="E8" s="50">
        <f t="shared" si="1"/>
        <v>1780.6</v>
      </c>
      <c r="F8" s="50">
        <f t="shared" si="1"/>
        <v>1844.8000000000002</v>
      </c>
      <c r="G8" s="49">
        <f t="shared" si="1"/>
        <v>4180.2</v>
      </c>
      <c r="H8" s="50">
        <f t="shared" si="1"/>
        <v>4158.1000000000004</v>
      </c>
      <c r="I8" s="50">
        <f t="shared" si="1"/>
        <v>4091.3</v>
      </c>
      <c r="J8" s="51">
        <f t="shared" si="1"/>
        <v>4431.8999999999996</v>
      </c>
      <c r="K8" s="49">
        <f t="shared" si="1"/>
        <v>1202.8</v>
      </c>
      <c r="L8" s="50">
        <f t="shared" si="1"/>
        <v>883.4</v>
      </c>
      <c r="M8" s="50">
        <f t="shared" si="1"/>
        <v>616.90000000000009</v>
      </c>
      <c r="N8" s="51">
        <f t="shared" si="1"/>
        <v>734.1</v>
      </c>
      <c r="O8" s="49">
        <f t="shared" si="1"/>
        <v>312.8</v>
      </c>
      <c r="P8" s="50">
        <f t="shared" si="1"/>
        <v>539.5</v>
      </c>
      <c r="Q8" s="50">
        <f t="shared" si="1"/>
        <v>1278.2</v>
      </c>
      <c r="R8" s="51">
        <f t="shared" si="1"/>
        <v>146.80000000000001</v>
      </c>
      <c r="S8" s="49">
        <f t="shared" si="1"/>
        <v>189.2</v>
      </c>
      <c r="T8" s="50">
        <f t="shared" si="1"/>
        <v>136.4</v>
      </c>
      <c r="U8" s="50">
        <f t="shared" si="1"/>
        <v>793.2</v>
      </c>
      <c r="V8" s="51">
        <f t="shared" si="1"/>
        <v>194.9</v>
      </c>
      <c r="W8" s="50">
        <f t="shared" si="1"/>
        <v>572</v>
      </c>
      <c r="X8" s="50">
        <f t="shared" si="1"/>
        <v>379.1</v>
      </c>
    </row>
    <row r="9" spans="1:24" s="10" customFormat="1" x14ac:dyDescent="0.2">
      <c r="A9" s="97" t="s">
        <v>375</v>
      </c>
      <c r="B9" s="97" t="s">
        <v>122</v>
      </c>
      <c r="C9" s="42">
        <v>690.3</v>
      </c>
      <c r="D9" s="43">
        <v>1035.8</v>
      </c>
      <c r="E9" s="43">
        <v>1514.7</v>
      </c>
      <c r="F9" s="43">
        <v>1513.2</v>
      </c>
      <c r="G9" s="42">
        <v>1587.6</v>
      </c>
      <c r="H9" s="43">
        <v>1432.4</v>
      </c>
      <c r="I9" s="43">
        <v>1576.6</v>
      </c>
      <c r="J9" s="44">
        <v>1822.7</v>
      </c>
      <c r="K9" s="42">
        <v>205.2</v>
      </c>
      <c r="L9" s="43">
        <v>203.6</v>
      </c>
      <c r="M9" s="43">
        <v>199.8</v>
      </c>
      <c r="N9" s="44">
        <v>186.5</v>
      </c>
      <c r="O9" s="42">
        <v>185.5</v>
      </c>
      <c r="P9" s="43">
        <v>191.8</v>
      </c>
      <c r="Q9" s="43">
        <v>188.3</v>
      </c>
      <c r="R9" s="44">
        <v>61.2</v>
      </c>
      <c r="S9" s="42">
        <v>62.6</v>
      </c>
      <c r="T9" s="43">
        <v>62.5</v>
      </c>
      <c r="U9" s="43">
        <v>0</v>
      </c>
      <c r="V9" s="44">
        <v>0</v>
      </c>
      <c r="W9" s="43">
        <v>414.5</v>
      </c>
      <c r="X9" s="43">
        <v>0</v>
      </c>
    </row>
    <row r="10" spans="1:24" s="10" customFormat="1" ht="22.5" x14ac:dyDescent="0.2">
      <c r="A10" s="99" t="s">
        <v>377</v>
      </c>
      <c r="B10" s="99" t="s">
        <v>124</v>
      </c>
      <c r="C10" s="42">
        <v>486.7</v>
      </c>
      <c r="D10" s="43">
        <v>786.9</v>
      </c>
      <c r="E10" s="43">
        <v>265.89999999999998</v>
      </c>
      <c r="F10" s="43">
        <v>331.6</v>
      </c>
      <c r="G10" s="42">
        <v>358.3</v>
      </c>
      <c r="H10" s="43">
        <v>255</v>
      </c>
      <c r="I10" s="43">
        <v>369.7</v>
      </c>
      <c r="J10" s="44">
        <v>362.5</v>
      </c>
      <c r="K10" s="42">
        <v>997.6</v>
      </c>
      <c r="L10" s="43">
        <v>679.8</v>
      </c>
      <c r="M10" s="43">
        <v>417.1</v>
      </c>
      <c r="N10" s="44">
        <v>547.6</v>
      </c>
      <c r="O10" s="42">
        <v>127.3</v>
      </c>
      <c r="P10" s="43">
        <v>347.7</v>
      </c>
      <c r="Q10" s="43">
        <v>1089.9000000000001</v>
      </c>
      <c r="R10" s="44">
        <v>85.6</v>
      </c>
      <c r="S10" s="42">
        <v>126.6</v>
      </c>
      <c r="T10" s="43">
        <v>73.900000000000006</v>
      </c>
      <c r="U10" s="43">
        <v>793.2</v>
      </c>
      <c r="V10" s="44">
        <v>194.9</v>
      </c>
      <c r="W10" s="43">
        <v>157.5</v>
      </c>
      <c r="X10" s="43">
        <v>379.1</v>
      </c>
    </row>
    <row r="11" spans="1:24" s="10" customFormat="1" x14ac:dyDescent="0.2">
      <c r="A11" s="99" t="s">
        <v>695</v>
      </c>
      <c r="B11" s="99" t="s">
        <v>601</v>
      </c>
      <c r="C11" s="42">
        <v>0</v>
      </c>
      <c r="D11" s="43">
        <v>0</v>
      </c>
      <c r="E11" s="43">
        <v>0</v>
      </c>
      <c r="F11" s="43">
        <v>0</v>
      </c>
      <c r="G11" s="42">
        <v>2234.3000000000002</v>
      </c>
      <c r="H11" s="43">
        <v>2470.6999999999998</v>
      </c>
      <c r="I11" s="43">
        <v>2145</v>
      </c>
      <c r="J11" s="44">
        <v>2246.6999999999998</v>
      </c>
      <c r="K11" s="42">
        <v>0</v>
      </c>
      <c r="L11" s="43">
        <v>0</v>
      </c>
      <c r="M11" s="43">
        <v>0</v>
      </c>
      <c r="N11" s="44">
        <v>0</v>
      </c>
      <c r="O11" s="42">
        <v>0</v>
      </c>
      <c r="P11" s="43">
        <v>0</v>
      </c>
      <c r="Q11" s="43">
        <v>0</v>
      </c>
      <c r="R11" s="44">
        <v>0</v>
      </c>
      <c r="S11" s="42">
        <v>0</v>
      </c>
      <c r="T11" s="43">
        <v>0</v>
      </c>
      <c r="U11" s="43">
        <v>0</v>
      </c>
      <c r="V11" s="44">
        <v>0</v>
      </c>
      <c r="W11" s="43">
        <v>0</v>
      </c>
      <c r="X11" s="43">
        <v>0</v>
      </c>
    </row>
    <row r="12" spans="1:24" s="129" customFormat="1" ht="33.75" x14ac:dyDescent="0.2">
      <c r="A12" s="109" t="s">
        <v>378</v>
      </c>
      <c r="B12" s="109" t="s">
        <v>602</v>
      </c>
      <c r="C12" s="103">
        <f>C5+C8</f>
        <v>10221.1</v>
      </c>
      <c r="D12" s="104">
        <f t="shared" ref="D12:X12" si="2">D5+D8</f>
        <v>6148.3</v>
      </c>
      <c r="E12" s="104">
        <f t="shared" si="2"/>
        <v>7099.6999999999989</v>
      </c>
      <c r="F12" s="104">
        <f t="shared" si="2"/>
        <v>6256.5</v>
      </c>
      <c r="G12" s="103">
        <f t="shared" si="2"/>
        <v>9177.2000000000007</v>
      </c>
      <c r="H12" s="104">
        <f t="shared" si="2"/>
        <v>8974.2000000000007</v>
      </c>
      <c r="I12" s="104">
        <f t="shared" si="2"/>
        <v>11196.3</v>
      </c>
      <c r="J12" s="105">
        <f t="shared" si="2"/>
        <v>10548.8</v>
      </c>
      <c r="K12" s="103">
        <f t="shared" si="2"/>
        <v>11977.4</v>
      </c>
      <c r="L12" s="104">
        <f t="shared" si="2"/>
        <v>10822.1</v>
      </c>
      <c r="M12" s="104">
        <f t="shared" si="2"/>
        <v>12177.699999999999</v>
      </c>
      <c r="N12" s="105">
        <f t="shared" si="2"/>
        <v>8267.7000000000007</v>
      </c>
      <c r="O12" s="103">
        <f t="shared" si="2"/>
        <v>3758.4</v>
      </c>
      <c r="P12" s="104">
        <f t="shared" si="2"/>
        <v>1451.5</v>
      </c>
      <c r="Q12" s="104">
        <f t="shared" si="2"/>
        <v>3945.7</v>
      </c>
      <c r="R12" s="105">
        <f t="shared" si="2"/>
        <v>659.59999999999991</v>
      </c>
      <c r="S12" s="103">
        <f t="shared" si="2"/>
        <v>576.9</v>
      </c>
      <c r="T12" s="104">
        <f t="shared" si="2"/>
        <v>572.5</v>
      </c>
      <c r="U12" s="104">
        <f t="shared" si="2"/>
        <v>1120.5</v>
      </c>
      <c r="V12" s="105">
        <f t="shared" si="2"/>
        <v>639.6</v>
      </c>
      <c r="W12" s="104">
        <f t="shared" si="2"/>
        <v>1425.7</v>
      </c>
      <c r="X12" s="104">
        <f t="shared" si="2"/>
        <v>791.5</v>
      </c>
    </row>
    <row r="13" spans="1:24" s="8" customFormat="1" x14ac:dyDescent="0.2">
      <c r="A13" s="98"/>
      <c r="B13" s="98"/>
      <c r="C13" s="42"/>
      <c r="D13" s="43"/>
      <c r="E13" s="43"/>
      <c r="F13" s="43"/>
      <c r="G13" s="42"/>
      <c r="H13" s="43"/>
      <c r="I13" s="43"/>
      <c r="J13" s="44"/>
      <c r="K13" s="42"/>
      <c r="L13" s="43"/>
      <c r="M13" s="43"/>
      <c r="N13" s="44"/>
      <c r="O13" s="42"/>
      <c r="P13" s="43"/>
      <c r="Q13" s="43"/>
      <c r="R13" s="44"/>
      <c r="S13" s="42"/>
      <c r="T13" s="43"/>
      <c r="U13" s="43"/>
      <c r="V13" s="44"/>
      <c r="W13" s="43"/>
      <c r="X13" s="43"/>
    </row>
    <row r="14" spans="1:24" s="10" customFormat="1" ht="22.5" x14ac:dyDescent="0.2">
      <c r="A14" s="98" t="s">
        <v>379</v>
      </c>
      <c r="B14" s="98" t="s">
        <v>125</v>
      </c>
      <c r="C14" s="49">
        <f>C15+C17</f>
        <v>12001.7</v>
      </c>
      <c r="D14" s="50">
        <f t="shared" ref="D14:X14" si="3">D15+D17</f>
        <v>9593.7999999999993</v>
      </c>
      <c r="E14" s="50">
        <f t="shared" si="3"/>
        <v>8529.2000000000007</v>
      </c>
      <c r="F14" s="50">
        <f t="shared" si="3"/>
        <v>8547.5</v>
      </c>
      <c r="G14" s="49">
        <f t="shared" si="3"/>
        <v>10159.700000000001</v>
      </c>
      <c r="H14" s="50">
        <f t="shared" si="3"/>
        <v>10816.199999999999</v>
      </c>
      <c r="I14" s="50">
        <f t="shared" si="3"/>
        <v>12385.2</v>
      </c>
      <c r="J14" s="51">
        <f t="shared" si="3"/>
        <v>10739.1</v>
      </c>
      <c r="K14" s="49">
        <f t="shared" si="3"/>
        <v>8517.5</v>
      </c>
      <c r="L14" s="50">
        <f t="shared" si="3"/>
        <v>8329.5</v>
      </c>
      <c r="M14" s="50">
        <f t="shared" si="3"/>
        <v>6990.8</v>
      </c>
      <c r="N14" s="51">
        <f t="shared" si="3"/>
        <v>6835.9</v>
      </c>
      <c r="O14" s="49">
        <f t="shared" si="3"/>
        <v>14852.8</v>
      </c>
      <c r="P14" s="50">
        <f t="shared" si="3"/>
        <v>14323.7</v>
      </c>
      <c r="Q14" s="50">
        <f t="shared" si="3"/>
        <v>12239.900000000001</v>
      </c>
      <c r="R14" s="51">
        <f t="shared" si="3"/>
        <v>16788.8</v>
      </c>
      <c r="S14" s="49">
        <f t="shared" si="3"/>
        <v>17266.8</v>
      </c>
      <c r="T14" s="50">
        <f t="shared" si="3"/>
        <v>18998.099999999999</v>
      </c>
      <c r="U14" s="50">
        <f t="shared" si="3"/>
        <v>17379.599999999999</v>
      </c>
      <c r="V14" s="51">
        <f t="shared" si="3"/>
        <v>15468.400000000001</v>
      </c>
      <c r="W14" s="50">
        <f t="shared" si="3"/>
        <v>11765.1</v>
      </c>
      <c r="X14" s="50">
        <f t="shared" si="3"/>
        <v>10298.999999999998</v>
      </c>
    </row>
    <row r="15" spans="1:24" s="10" customFormat="1" x14ac:dyDescent="0.2">
      <c r="A15" s="97" t="s">
        <v>380</v>
      </c>
      <c r="B15" s="97" t="s">
        <v>126</v>
      </c>
      <c r="C15" s="42">
        <v>11986.7</v>
      </c>
      <c r="D15" s="43">
        <v>9572.4</v>
      </c>
      <c r="E15" s="43">
        <v>8510.6</v>
      </c>
      <c r="F15" s="43">
        <v>8524.2000000000007</v>
      </c>
      <c r="G15" s="42">
        <v>10137.1</v>
      </c>
      <c r="H15" s="43">
        <v>10811.8</v>
      </c>
      <c r="I15" s="43">
        <v>12374.6</v>
      </c>
      <c r="J15" s="44">
        <v>10730.5</v>
      </c>
      <c r="K15" s="42">
        <v>8507.7000000000007</v>
      </c>
      <c r="L15" s="43">
        <v>8323</v>
      </c>
      <c r="M15" s="43">
        <v>6939.8</v>
      </c>
      <c r="N15" s="44">
        <v>6783</v>
      </c>
      <c r="O15" s="42">
        <v>14800.8</v>
      </c>
      <c r="P15" s="43">
        <v>14273.5</v>
      </c>
      <c r="Q15" s="43">
        <v>12185.7</v>
      </c>
      <c r="R15" s="44">
        <v>16740.5</v>
      </c>
      <c r="S15" s="42">
        <v>17218.7</v>
      </c>
      <c r="T15" s="43">
        <v>18950.3</v>
      </c>
      <c r="U15" s="43">
        <v>17350.3</v>
      </c>
      <c r="V15" s="44">
        <v>15437.7</v>
      </c>
      <c r="W15" s="43">
        <v>11736.1</v>
      </c>
      <c r="X15" s="43">
        <v>10278.199999999999</v>
      </c>
    </row>
    <row r="16" spans="1:24" s="73" customFormat="1" ht="21.6" customHeight="1" x14ac:dyDescent="0.2">
      <c r="A16" s="163" t="s">
        <v>381</v>
      </c>
      <c r="B16" s="127" t="s">
        <v>127</v>
      </c>
      <c r="C16" s="60">
        <v>0</v>
      </c>
      <c r="D16" s="61">
        <v>48.5</v>
      </c>
      <c r="E16" s="61">
        <v>151</v>
      </c>
      <c r="F16" s="61">
        <v>435.5</v>
      </c>
      <c r="G16" s="60">
        <v>2084.4</v>
      </c>
      <c r="H16" s="61">
        <v>3112.5</v>
      </c>
      <c r="I16" s="61">
        <v>4246.6000000000004</v>
      </c>
      <c r="J16" s="62">
        <v>3235.8</v>
      </c>
      <c r="K16" s="60">
        <v>3211.7</v>
      </c>
      <c r="L16" s="61">
        <v>3114.8</v>
      </c>
      <c r="M16" s="61">
        <v>3157.9</v>
      </c>
      <c r="N16" s="62">
        <v>3137.7</v>
      </c>
      <c r="O16" s="60">
        <v>3096.9</v>
      </c>
      <c r="P16" s="61">
        <v>3032</v>
      </c>
      <c r="Q16" s="61">
        <v>3076.3</v>
      </c>
      <c r="R16" s="62">
        <v>3221.4</v>
      </c>
      <c r="S16" s="60">
        <v>2118.6999999999998</v>
      </c>
      <c r="T16" s="61">
        <v>2097.6999999999998</v>
      </c>
      <c r="U16" s="61">
        <v>1459.4</v>
      </c>
      <c r="V16" s="62">
        <v>1020.3</v>
      </c>
      <c r="W16" s="61">
        <v>1031.8</v>
      </c>
      <c r="X16" s="61">
        <v>1007.1</v>
      </c>
    </row>
    <row r="17" spans="1:24" s="10" customFormat="1" x14ac:dyDescent="0.2">
      <c r="A17" s="99" t="s">
        <v>376</v>
      </c>
      <c r="B17" s="99" t="s">
        <v>123</v>
      </c>
      <c r="C17" s="42">
        <v>15</v>
      </c>
      <c r="D17" s="43">
        <v>21.4</v>
      </c>
      <c r="E17" s="43">
        <v>18.600000000000001</v>
      </c>
      <c r="F17" s="43">
        <v>23.3</v>
      </c>
      <c r="G17" s="42">
        <v>22.6</v>
      </c>
      <c r="H17" s="43">
        <v>4.4000000000000004</v>
      </c>
      <c r="I17" s="43">
        <v>10.6</v>
      </c>
      <c r="J17" s="44">
        <v>8.6</v>
      </c>
      <c r="K17" s="42">
        <v>9.8000000000000007</v>
      </c>
      <c r="L17" s="43">
        <v>6.5</v>
      </c>
      <c r="M17" s="43">
        <v>51</v>
      </c>
      <c r="N17" s="44">
        <v>52.9</v>
      </c>
      <c r="O17" s="42">
        <v>52</v>
      </c>
      <c r="P17" s="43">
        <v>50.2</v>
      </c>
      <c r="Q17" s="43">
        <v>54.2</v>
      </c>
      <c r="R17" s="44">
        <v>48.3</v>
      </c>
      <c r="S17" s="42">
        <v>48.1</v>
      </c>
      <c r="T17" s="43">
        <v>47.8</v>
      </c>
      <c r="U17" s="43">
        <v>29.3</v>
      </c>
      <c r="V17" s="44">
        <v>30.7</v>
      </c>
      <c r="W17" s="43">
        <v>29</v>
      </c>
      <c r="X17" s="43">
        <v>20.8</v>
      </c>
    </row>
    <row r="18" spans="1:24" s="10" customFormat="1" ht="24" customHeight="1" x14ac:dyDescent="0.2">
      <c r="A18" s="108" t="s">
        <v>382</v>
      </c>
      <c r="B18" s="108" t="s">
        <v>128</v>
      </c>
      <c r="C18" s="49">
        <f>SUM(C19)</f>
        <v>0</v>
      </c>
      <c r="D18" s="50">
        <f t="shared" ref="D18:X18" si="4">SUM(D19)</f>
        <v>0</v>
      </c>
      <c r="E18" s="50">
        <f t="shared" si="4"/>
        <v>620.70000000000005</v>
      </c>
      <c r="F18" s="50">
        <f t="shared" si="4"/>
        <v>840.8</v>
      </c>
      <c r="G18" s="49">
        <f t="shared" si="4"/>
        <v>3773.7</v>
      </c>
      <c r="H18" s="50">
        <f t="shared" si="4"/>
        <v>6185</v>
      </c>
      <c r="I18" s="50">
        <f t="shared" si="4"/>
        <v>7325.5</v>
      </c>
      <c r="J18" s="51">
        <f t="shared" si="4"/>
        <v>7311.8</v>
      </c>
      <c r="K18" s="49">
        <f t="shared" si="4"/>
        <v>7384.4</v>
      </c>
      <c r="L18" s="50">
        <f t="shared" si="4"/>
        <v>7238.7</v>
      </c>
      <c r="M18" s="50">
        <f t="shared" si="4"/>
        <v>7343.7</v>
      </c>
      <c r="N18" s="51">
        <f t="shared" si="4"/>
        <v>7330.4</v>
      </c>
      <c r="O18" s="49">
        <f t="shared" si="4"/>
        <v>6786.9</v>
      </c>
      <c r="P18" s="50">
        <f t="shared" si="4"/>
        <v>6685</v>
      </c>
      <c r="Q18" s="50">
        <f t="shared" si="4"/>
        <v>6496.5</v>
      </c>
      <c r="R18" s="51">
        <f t="shared" si="4"/>
        <v>6218</v>
      </c>
      <c r="S18" s="49">
        <f t="shared" si="4"/>
        <v>6307.3</v>
      </c>
      <c r="T18" s="50">
        <f t="shared" si="4"/>
        <v>4949.3999999999996</v>
      </c>
      <c r="U18" s="50">
        <f t="shared" si="4"/>
        <v>5016.7</v>
      </c>
      <c r="V18" s="51">
        <f t="shared" si="4"/>
        <v>4982.3</v>
      </c>
      <c r="W18" s="50">
        <f t="shared" si="4"/>
        <v>5054.7</v>
      </c>
      <c r="X18" s="50">
        <f t="shared" si="4"/>
        <v>3518.5</v>
      </c>
    </row>
    <row r="19" spans="1:24" s="10" customFormat="1" x14ac:dyDescent="0.2">
      <c r="A19" s="99" t="s">
        <v>375</v>
      </c>
      <c r="B19" s="99" t="s">
        <v>122</v>
      </c>
      <c r="C19" s="42">
        <v>0</v>
      </c>
      <c r="D19" s="43">
        <v>0</v>
      </c>
      <c r="E19" s="43">
        <v>620.70000000000005</v>
      </c>
      <c r="F19" s="43">
        <v>840.8</v>
      </c>
      <c r="G19" s="42">
        <v>3773.7</v>
      </c>
      <c r="H19" s="43">
        <v>6185</v>
      </c>
      <c r="I19" s="43">
        <v>7325.5</v>
      </c>
      <c r="J19" s="44">
        <v>7311.8</v>
      </c>
      <c r="K19" s="42">
        <v>7384.4</v>
      </c>
      <c r="L19" s="43">
        <v>7238.7</v>
      </c>
      <c r="M19" s="43">
        <v>7343.7</v>
      </c>
      <c r="N19" s="44">
        <v>7330.4</v>
      </c>
      <c r="O19" s="42">
        <v>6786.9</v>
      </c>
      <c r="P19" s="43">
        <v>6685</v>
      </c>
      <c r="Q19" s="43">
        <v>6496.5</v>
      </c>
      <c r="R19" s="44">
        <v>6218</v>
      </c>
      <c r="S19" s="42">
        <v>6307.3</v>
      </c>
      <c r="T19" s="43">
        <v>4949.3999999999996</v>
      </c>
      <c r="U19" s="43">
        <v>5016.7</v>
      </c>
      <c r="V19" s="44">
        <v>4982.3</v>
      </c>
      <c r="W19" s="43">
        <v>5054.7</v>
      </c>
      <c r="X19" s="43">
        <v>3518.5</v>
      </c>
    </row>
    <row r="20" spans="1:24" s="14" customFormat="1" ht="18.600000000000001" customHeight="1" x14ac:dyDescent="0.2">
      <c r="A20" s="109" t="s">
        <v>383</v>
      </c>
      <c r="B20" s="109" t="s">
        <v>129</v>
      </c>
      <c r="C20" s="103">
        <f>C14+C18</f>
        <v>12001.7</v>
      </c>
      <c r="D20" s="104">
        <f t="shared" ref="D20:X20" si="5">D14+D18</f>
        <v>9593.7999999999993</v>
      </c>
      <c r="E20" s="104">
        <f t="shared" si="5"/>
        <v>9149.9000000000015</v>
      </c>
      <c r="F20" s="104">
        <f t="shared" si="5"/>
        <v>9388.2999999999993</v>
      </c>
      <c r="G20" s="103">
        <f t="shared" si="5"/>
        <v>13933.400000000001</v>
      </c>
      <c r="H20" s="104">
        <f t="shared" si="5"/>
        <v>17001.199999999997</v>
      </c>
      <c r="I20" s="104">
        <f t="shared" si="5"/>
        <v>19710.7</v>
      </c>
      <c r="J20" s="105">
        <f t="shared" si="5"/>
        <v>18050.900000000001</v>
      </c>
      <c r="K20" s="103">
        <f t="shared" si="5"/>
        <v>15901.9</v>
      </c>
      <c r="L20" s="104">
        <f t="shared" si="5"/>
        <v>15568.2</v>
      </c>
      <c r="M20" s="104">
        <f t="shared" si="5"/>
        <v>14334.5</v>
      </c>
      <c r="N20" s="105">
        <f t="shared" si="5"/>
        <v>14166.3</v>
      </c>
      <c r="O20" s="103">
        <f t="shared" si="5"/>
        <v>21639.699999999997</v>
      </c>
      <c r="P20" s="104">
        <f t="shared" si="5"/>
        <v>21008.7</v>
      </c>
      <c r="Q20" s="104">
        <f t="shared" si="5"/>
        <v>18736.400000000001</v>
      </c>
      <c r="R20" s="105">
        <f t="shared" si="5"/>
        <v>23006.799999999999</v>
      </c>
      <c r="S20" s="103">
        <f t="shared" si="5"/>
        <v>23574.1</v>
      </c>
      <c r="T20" s="104">
        <f t="shared" si="5"/>
        <v>23947.5</v>
      </c>
      <c r="U20" s="104">
        <f t="shared" si="5"/>
        <v>22396.3</v>
      </c>
      <c r="V20" s="105">
        <f t="shared" si="5"/>
        <v>20450.7</v>
      </c>
      <c r="W20" s="104">
        <f t="shared" si="5"/>
        <v>16819.8</v>
      </c>
      <c r="X20" s="104">
        <f t="shared" si="5"/>
        <v>13817.499999999998</v>
      </c>
    </row>
    <row r="21" spans="1:24" x14ac:dyDescent="0.2">
      <c r="A21" s="3"/>
      <c r="B21" s="3"/>
    </row>
    <row r="22" spans="1:24" s="120" customFormat="1" ht="11.25" hidden="1" x14ac:dyDescent="0.2">
      <c r="A22" s="118"/>
      <c r="B22" s="118" t="s">
        <v>592</v>
      </c>
      <c r="C22" s="119">
        <f>C12-[1]Bilans!B7</f>
        <v>0</v>
      </c>
      <c r="D22" s="119">
        <f>D12-[1]Bilans!C7</f>
        <v>0</v>
      </c>
      <c r="E22" s="119">
        <f>E12-[1]Bilans!D7</f>
        <v>0</v>
      </c>
      <c r="F22" s="119">
        <f>F12-[1]Bilans!E7</f>
        <v>0</v>
      </c>
      <c r="G22" s="119">
        <f>G12-[1]Bilans!F7</f>
        <v>0</v>
      </c>
      <c r="H22" s="119">
        <f>H12-[1]Bilans!G7</f>
        <v>0</v>
      </c>
      <c r="I22" s="119">
        <f>I12-[1]Bilans!H7</f>
        <v>0</v>
      </c>
      <c r="J22" s="119">
        <f>J12-[1]Bilans!I7</f>
        <v>0</v>
      </c>
      <c r="K22" s="119">
        <f>K12-[1]Bilans!J7</f>
        <v>0</v>
      </c>
      <c r="L22" s="119">
        <f>L12-[1]Bilans!K7</f>
        <v>0</v>
      </c>
      <c r="M22" s="119">
        <f>M12-[1]Bilans!L7</f>
        <v>0</v>
      </c>
      <c r="N22" s="119">
        <f>N12-[1]Bilans!M7</f>
        <v>0</v>
      </c>
      <c r="O22" s="119">
        <f>O12-[1]Bilans!N7</f>
        <v>0</v>
      </c>
      <c r="P22" s="119">
        <f>P12-[1]Bilans!O7</f>
        <v>0</v>
      </c>
      <c r="Q22" s="119">
        <f>Q12-[1]Bilans!P7</f>
        <v>0</v>
      </c>
      <c r="R22" s="119">
        <f>R12-[1]Bilans!Q7</f>
        <v>0</v>
      </c>
      <c r="S22" s="119">
        <f>S12-[1]Bilans!R7</f>
        <v>0</v>
      </c>
      <c r="T22" s="119">
        <f>T12-[1]Bilans!S7</f>
        <v>0</v>
      </c>
      <c r="U22" s="119">
        <f>U12-[1]Bilans!T7</f>
        <v>0</v>
      </c>
      <c r="V22" s="119">
        <f>V12-[1]Bilans!U7</f>
        <v>0</v>
      </c>
      <c r="W22" s="119">
        <f>W12-[1]Bilans!V7</f>
        <v>0</v>
      </c>
      <c r="X22" s="119">
        <f>X12-[1]Bilans!W7</f>
        <v>0</v>
      </c>
    </row>
    <row r="23" spans="1:24" s="120" customFormat="1" ht="11.25" hidden="1" x14ac:dyDescent="0.2">
      <c r="A23" s="118"/>
      <c r="B23" s="118" t="s">
        <v>592</v>
      </c>
      <c r="C23" s="119">
        <f>C14-[1]Bilans!B10</f>
        <v>0</v>
      </c>
      <c r="D23" s="119">
        <f>D14-[1]Bilans!C10</f>
        <v>0</v>
      </c>
      <c r="E23" s="119">
        <f>E14-[1]Bilans!D10</f>
        <v>0</v>
      </c>
      <c r="F23" s="119">
        <f>F14-[1]Bilans!E10</f>
        <v>0</v>
      </c>
      <c r="G23" s="119">
        <f>G14-[1]Bilans!F10</f>
        <v>0</v>
      </c>
      <c r="H23" s="119">
        <f>H14-[1]Bilans!G10</f>
        <v>0</v>
      </c>
      <c r="I23" s="119">
        <f>I14-[1]Bilans!H10</f>
        <v>0</v>
      </c>
      <c r="J23" s="119">
        <f>J14-[1]Bilans!I10</f>
        <v>0</v>
      </c>
      <c r="K23" s="119">
        <f>K14-[1]Bilans!J10</f>
        <v>0</v>
      </c>
      <c r="L23" s="119">
        <f>L14-[1]Bilans!K10</f>
        <v>0</v>
      </c>
      <c r="M23" s="119">
        <f>M14-[1]Bilans!L10</f>
        <v>0</v>
      </c>
      <c r="N23" s="119">
        <f>N14-[1]Bilans!M10</f>
        <v>0</v>
      </c>
      <c r="O23" s="119">
        <f>O14-[1]Bilans!N10</f>
        <v>0</v>
      </c>
      <c r="P23" s="119">
        <f>P14-[1]Bilans!O10</f>
        <v>0</v>
      </c>
      <c r="Q23" s="119">
        <f>Q14-[1]Bilans!P10</f>
        <v>0</v>
      </c>
      <c r="R23" s="119">
        <f>R14-[1]Bilans!Q10</f>
        <v>0</v>
      </c>
      <c r="S23" s="119">
        <f>S14-[1]Bilans!R10</f>
        <v>0</v>
      </c>
      <c r="T23" s="119">
        <f>T14-[1]Bilans!S10</f>
        <v>0</v>
      </c>
      <c r="U23" s="119">
        <f>U14-[1]Bilans!T10</f>
        <v>0</v>
      </c>
      <c r="V23" s="119">
        <f>V14-[1]Bilans!U10</f>
        <v>0</v>
      </c>
      <c r="W23" s="119">
        <f>W14-[1]Bilans!V10</f>
        <v>0</v>
      </c>
      <c r="X23" s="119">
        <f>X14-[1]Bilans!W10</f>
        <v>0</v>
      </c>
    </row>
    <row r="24" spans="1:24" s="120" customFormat="1" ht="11.25" hidden="1" x14ac:dyDescent="0.2">
      <c r="A24" s="118"/>
      <c r="B24" s="118" t="s">
        <v>592</v>
      </c>
      <c r="C24" s="119">
        <f>C18-[1]Bilans!B11</f>
        <v>0</v>
      </c>
      <c r="D24" s="119">
        <f>D18-[1]Bilans!C11</f>
        <v>0</v>
      </c>
      <c r="E24" s="119">
        <f>E18-[1]Bilans!D11</f>
        <v>0</v>
      </c>
      <c r="F24" s="119">
        <f>F18-[1]Bilans!E11</f>
        <v>0</v>
      </c>
      <c r="G24" s="119">
        <f>G18-[1]Bilans!F11</f>
        <v>0</v>
      </c>
      <c r="H24" s="119">
        <f>H18-[1]Bilans!G11</f>
        <v>0</v>
      </c>
      <c r="I24" s="119">
        <f>I18-[1]Bilans!H11</f>
        <v>0</v>
      </c>
      <c r="J24" s="119">
        <f>J18-[1]Bilans!I11</f>
        <v>0</v>
      </c>
      <c r="K24" s="119">
        <f>K18-[1]Bilans!J11</f>
        <v>0</v>
      </c>
      <c r="L24" s="119">
        <f>L18-[1]Bilans!K11</f>
        <v>0</v>
      </c>
      <c r="M24" s="119">
        <f>M18-[1]Bilans!L11</f>
        <v>0</v>
      </c>
      <c r="N24" s="119">
        <f>N18-[1]Bilans!M11</f>
        <v>0</v>
      </c>
      <c r="O24" s="119">
        <f>O18-[1]Bilans!N11</f>
        <v>0</v>
      </c>
      <c r="P24" s="119">
        <f>P18-[1]Bilans!O11</f>
        <v>0</v>
      </c>
      <c r="Q24" s="119">
        <f>Q18-[1]Bilans!P11</f>
        <v>0</v>
      </c>
      <c r="R24" s="119">
        <f>R18-[1]Bilans!Q11</f>
        <v>0</v>
      </c>
      <c r="S24" s="119">
        <f>S18-[1]Bilans!R11</f>
        <v>0</v>
      </c>
      <c r="T24" s="119">
        <f>T18-[1]Bilans!S11</f>
        <v>0</v>
      </c>
      <c r="U24" s="119">
        <f>U18-[1]Bilans!T11</f>
        <v>0</v>
      </c>
      <c r="V24" s="119">
        <f>V18-[1]Bilans!U11</f>
        <v>0</v>
      </c>
      <c r="W24" s="119">
        <f>W18-[1]Bilans!V11</f>
        <v>0</v>
      </c>
      <c r="X24" s="119">
        <f>X18-[1]Bilans!W11</f>
        <v>0</v>
      </c>
    </row>
    <row r="25" spans="1:24" x14ac:dyDescent="0.2">
      <c r="A25" s="3"/>
      <c r="B25" s="3"/>
    </row>
    <row r="26" spans="1:24" x14ac:dyDescent="0.2">
      <c r="A26" s="3"/>
      <c r="B26" s="3"/>
    </row>
    <row r="27" spans="1:24" x14ac:dyDescent="0.2">
      <c r="A27" s="3"/>
      <c r="B27" s="3"/>
    </row>
    <row r="28" spans="1:24" x14ac:dyDescent="0.2">
      <c r="A28" s="3"/>
      <c r="B28" s="3"/>
    </row>
    <row r="29" spans="1:24" x14ac:dyDescent="0.2">
      <c r="A29" s="3"/>
      <c r="B29" s="3"/>
    </row>
    <row r="30" spans="1:24" x14ac:dyDescent="0.2">
      <c r="A30" s="3"/>
      <c r="B30" s="3"/>
    </row>
    <row r="31" spans="1:24" x14ac:dyDescent="0.2">
      <c r="A31" s="3"/>
      <c r="B31" s="3"/>
    </row>
    <row r="32" spans="1:24"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58" orientation="landscape" r:id="rId1"/>
  <headerFooter alignWithMargins="0">
    <oddHeader xml:space="preserve">&amp;C&amp;"Times New Roman,Kursywa"&amp;12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4"/>
  <sheetViews>
    <sheetView showGridLines="0" view="pageBreakPreview" topLeftCell="A2" zoomScaleNormal="100" zoomScaleSheetLayoutView="100" zoomScalePageLayoutView="80" workbookViewId="0">
      <pane xSplit="2" ySplit="3" topLeftCell="C5" activePane="bottomRight" state="frozen"/>
      <selection activeCell="B1" sqref="B1"/>
      <selection pane="topRight" activeCell="B1" sqref="B1"/>
      <selection pane="bottomLeft" activeCell="B1" sqref="B1"/>
      <selection pane="bottomRight" activeCell="A2" sqref="A2"/>
    </sheetView>
  </sheetViews>
  <sheetFormatPr defaultColWidth="8.85546875" defaultRowHeight="12.75" outlineLevelCol="1" x14ac:dyDescent="0.2"/>
  <cols>
    <col min="1" max="1" customWidth="true" style="2" width="49.7109375" collapsed="true"/>
    <col min="2" max="2" customWidth="true" hidden="true" style="2" width="52.28515625" collapsed="true" outlineLevel="1"/>
    <col min="3" max="3" bestFit="true" customWidth="true" style="3" width="7.5703125" collapsed="true"/>
    <col min="4" max="24" bestFit="true" customWidth="true" style="3" width="7.5703125" collapsed="true"/>
    <col min="25" max="16384" style="3" width="8.85546875" collapsed="true"/>
  </cols>
  <sheetData>
    <row r="3" spans="1:24" x14ac:dyDescent="0.2">
      <c r="A3" s="385" t="s">
        <v>429</v>
      </c>
      <c r="B3" s="385" t="s">
        <v>192</v>
      </c>
      <c r="C3" s="383">
        <v>2007</v>
      </c>
      <c r="D3" s="384"/>
      <c r="E3" s="384"/>
      <c r="F3" s="384"/>
      <c r="G3" s="383">
        <v>2008</v>
      </c>
      <c r="H3" s="384"/>
      <c r="I3" s="384"/>
      <c r="J3" s="384"/>
      <c r="K3" s="383">
        <v>2009</v>
      </c>
      <c r="L3" s="384"/>
      <c r="M3" s="384"/>
      <c r="N3" s="384"/>
      <c r="O3" s="383">
        <v>2010</v>
      </c>
      <c r="P3" s="384"/>
      <c r="Q3" s="384"/>
      <c r="R3" s="384"/>
      <c r="S3" s="383">
        <v>2011</v>
      </c>
      <c r="T3" s="384"/>
      <c r="U3" s="384"/>
      <c r="V3" s="384"/>
      <c r="W3" s="383">
        <v>2012</v>
      </c>
      <c r="X3" s="384"/>
    </row>
    <row r="4" spans="1:24" s="4" customFormat="1" x14ac:dyDescent="0.2">
      <c r="A4" s="386"/>
      <c r="B4" s="386"/>
      <c r="C4" s="37" t="s">
        <v>253</v>
      </c>
      <c r="D4" s="38" t="s">
        <v>254</v>
      </c>
      <c r="E4" s="38" t="s">
        <v>255</v>
      </c>
      <c r="F4" s="38" t="s">
        <v>256</v>
      </c>
      <c r="G4" s="37" t="s">
        <v>253</v>
      </c>
      <c r="H4" s="38" t="s">
        <v>254</v>
      </c>
      <c r="I4" s="38" t="s">
        <v>255</v>
      </c>
      <c r="J4" s="38" t="s">
        <v>256</v>
      </c>
      <c r="K4" s="37" t="s">
        <v>253</v>
      </c>
      <c r="L4" s="38" t="s">
        <v>254</v>
      </c>
      <c r="M4" s="38" t="s">
        <v>255</v>
      </c>
      <c r="N4" s="38" t="s">
        <v>256</v>
      </c>
      <c r="O4" s="37" t="s">
        <v>253</v>
      </c>
      <c r="P4" s="38" t="s">
        <v>254</v>
      </c>
      <c r="Q4" s="38" t="s">
        <v>255</v>
      </c>
      <c r="R4" s="38" t="s">
        <v>256</v>
      </c>
      <c r="S4" s="37" t="s">
        <v>253</v>
      </c>
      <c r="T4" s="38" t="s">
        <v>254</v>
      </c>
      <c r="U4" s="38" t="s">
        <v>255</v>
      </c>
      <c r="V4" s="38" t="s">
        <v>256</v>
      </c>
      <c r="W4" s="37" t="s">
        <v>253</v>
      </c>
      <c r="X4" s="38" t="s">
        <v>254</v>
      </c>
    </row>
    <row r="5" spans="1:24" s="4" customFormat="1" ht="12.75" customHeight="1" x14ac:dyDescent="0.2">
      <c r="A5" s="21" t="s">
        <v>258</v>
      </c>
      <c r="B5" s="21" t="s">
        <v>15</v>
      </c>
      <c r="C5" s="17"/>
      <c r="D5" s="7"/>
      <c r="E5" s="6"/>
      <c r="F5" s="7"/>
      <c r="G5" s="17"/>
      <c r="H5" s="7"/>
      <c r="I5" s="6"/>
      <c r="J5" s="18"/>
      <c r="K5" s="17"/>
      <c r="L5" s="7"/>
      <c r="M5" s="6"/>
      <c r="N5" s="18"/>
      <c r="O5" s="17"/>
      <c r="P5" s="7"/>
      <c r="Q5" s="6"/>
      <c r="R5" s="18"/>
      <c r="S5" s="17"/>
      <c r="T5" s="7"/>
      <c r="U5" s="6"/>
      <c r="V5" s="18"/>
      <c r="W5" s="6"/>
      <c r="X5" s="6"/>
    </row>
    <row r="6" spans="1:24" s="8" customFormat="1" x14ac:dyDescent="0.2">
      <c r="A6" s="97" t="s">
        <v>430</v>
      </c>
      <c r="B6" s="97" t="s">
        <v>179</v>
      </c>
      <c r="C6" s="42">
        <f>SUM(C16,C25,C28,C37)</f>
        <v>37903.5</v>
      </c>
      <c r="D6" s="43">
        <f t="shared" ref="D6:X6" si="0">SUM(D16,D25,D28,D37)</f>
        <v>37613</v>
      </c>
      <c r="E6" s="43">
        <f t="shared" si="0"/>
        <v>38935.5</v>
      </c>
      <c r="F6" s="43">
        <f t="shared" si="0"/>
        <v>42952.5</v>
      </c>
      <c r="G6" s="42">
        <f t="shared" si="0"/>
        <v>44101.600000000006</v>
      </c>
      <c r="H6" s="43">
        <f t="shared" si="0"/>
        <v>46759.299999999996</v>
      </c>
      <c r="I6" s="43">
        <f t="shared" si="0"/>
        <v>50335.3</v>
      </c>
      <c r="J6" s="44">
        <f t="shared" si="0"/>
        <v>46272.899999999994</v>
      </c>
      <c r="K6" s="42">
        <f t="shared" si="0"/>
        <v>45506.7</v>
      </c>
      <c r="L6" s="43">
        <f t="shared" si="0"/>
        <v>44812.899999999994</v>
      </c>
      <c r="M6" s="43">
        <f t="shared" si="0"/>
        <v>45736.9</v>
      </c>
      <c r="N6" s="44">
        <f t="shared" si="0"/>
        <v>46716.2</v>
      </c>
      <c r="O6" s="42">
        <f t="shared" si="0"/>
        <v>45152.9</v>
      </c>
      <c r="P6" s="43">
        <f t="shared" si="0"/>
        <v>45225.5</v>
      </c>
      <c r="Q6" s="43">
        <f t="shared" si="0"/>
        <v>47089.399999999994</v>
      </c>
      <c r="R6" s="44">
        <f t="shared" si="0"/>
        <v>46836.9</v>
      </c>
      <c r="S6" s="42">
        <f t="shared" si="0"/>
        <v>45715.100000000006</v>
      </c>
      <c r="T6" s="43">
        <f t="shared" si="0"/>
        <v>47540.600000000006</v>
      </c>
      <c r="U6" s="43">
        <f t="shared" si="0"/>
        <v>50040.099999999991</v>
      </c>
      <c r="V6" s="44">
        <f t="shared" si="0"/>
        <v>52334.6</v>
      </c>
      <c r="W6" s="43">
        <f t="shared" si="0"/>
        <v>51532.3</v>
      </c>
      <c r="X6" s="43">
        <f t="shared" si="0"/>
        <v>53224.6</v>
      </c>
    </row>
    <row r="7" spans="1:24" s="8" customFormat="1" x14ac:dyDescent="0.2">
      <c r="A7" s="41" t="s">
        <v>431</v>
      </c>
      <c r="B7" s="41" t="s">
        <v>180</v>
      </c>
      <c r="C7" s="42">
        <f>SUM(C19,C31,C40)</f>
        <v>2390.1</v>
      </c>
      <c r="D7" s="43">
        <f t="shared" ref="D7:X8" si="1">SUM(D19,D31,D40)</f>
        <v>1991.7</v>
      </c>
      <c r="E7" s="43">
        <f t="shared" si="1"/>
        <v>1062.8</v>
      </c>
      <c r="F7" s="43">
        <f t="shared" si="1"/>
        <v>855.3</v>
      </c>
      <c r="G7" s="42">
        <f t="shared" si="1"/>
        <v>667.59999999999991</v>
      </c>
      <c r="H7" s="43">
        <f t="shared" si="1"/>
        <v>205.8</v>
      </c>
      <c r="I7" s="43">
        <f t="shared" si="1"/>
        <v>299.10000000000002</v>
      </c>
      <c r="J7" s="44">
        <f t="shared" si="1"/>
        <v>202</v>
      </c>
      <c r="K7" s="42">
        <f t="shared" si="1"/>
        <v>238.6</v>
      </c>
      <c r="L7" s="43">
        <f t="shared" si="1"/>
        <v>199.3</v>
      </c>
      <c r="M7" s="43">
        <f t="shared" si="1"/>
        <v>15</v>
      </c>
      <c r="N7" s="44">
        <f t="shared" si="1"/>
        <v>311.60000000000002</v>
      </c>
      <c r="O7" s="42">
        <f t="shared" si="1"/>
        <v>489.7</v>
      </c>
      <c r="P7" s="43">
        <f t="shared" si="1"/>
        <v>131.30000000000001</v>
      </c>
      <c r="Q7" s="43">
        <f t="shared" si="1"/>
        <v>0</v>
      </c>
      <c r="R7" s="44">
        <f t="shared" si="1"/>
        <v>0</v>
      </c>
      <c r="S7" s="42">
        <f t="shared" si="1"/>
        <v>122.8</v>
      </c>
      <c r="T7" s="43">
        <f t="shared" si="1"/>
        <v>99.1</v>
      </c>
      <c r="U7" s="43">
        <f t="shared" si="1"/>
        <v>62</v>
      </c>
      <c r="V7" s="44">
        <f t="shared" si="1"/>
        <v>116.1</v>
      </c>
      <c r="W7" s="43">
        <f t="shared" si="1"/>
        <v>44</v>
      </c>
      <c r="X7" s="43">
        <f t="shared" si="1"/>
        <v>3.6</v>
      </c>
    </row>
    <row r="8" spans="1:24" s="8" customFormat="1" x14ac:dyDescent="0.2">
      <c r="A8" s="41" t="s">
        <v>432</v>
      </c>
      <c r="B8" s="41" t="s">
        <v>181</v>
      </c>
      <c r="C8" s="42">
        <f>SUM(C20,C32,C41)</f>
        <v>481</v>
      </c>
      <c r="D8" s="43">
        <f t="shared" si="1"/>
        <v>648.69999999999993</v>
      </c>
      <c r="E8" s="43">
        <f t="shared" si="1"/>
        <v>659.79999999999984</v>
      </c>
      <c r="F8" s="43">
        <f t="shared" si="1"/>
        <v>694</v>
      </c>
      <c r="G8" s="42">
        <f t="shared" si="1"/>
        <v>542.6</v>
      </c>
      <c r="H8" s="43">
        <f t="shared" si="1"/>
        <v>625.9</v>
      </c>
      <c r="I8" s="43">
        <f t="shared" si="1"/>
        <v>634.6</v>
      </c>
      <c r="J8" s="44">
        <f t="shared" si="1"/>
        <v>592</v>
      </c>
      <c r="K8" s="42">
        <f t="shared" si="1"/>
        <v>716.5</v>
      </c>
      <c r="L8" s="43">
        <f t="shared" si="1"/>
        <v>720.2</v>
      </c>
      <c r="M8" s="43">
        <f t="shared" si="1"/>
        <v>728.9</v>
      </c>
      <c r="N8" s="44">
        <f t="shared" si="1"/>
        <v>556.9</v>
      </c>
      <c r="O8" s="42">
        <f t="shared" si="1"/>
        <v>541.6</v>
      </c>
      <c r="P8" s="43">
        <f t="shared" si="1"/>
        <v>597.4</v>
      </c>
      <c r="Q8" s="43">
        <f t="shared" si="1"/>
        <v>578.5</v>
      </c>
      <c r="R8" s="44">
        <f t="shared" si="1"/>
        <v>563.19999999999993</v>
      </c>
      <c r="S8" s="42">
        <f t="shared" si="1"/>
        <v>624.1</v>
      </c>
      <c r="T8" s="43">
        <f t="shared" si="1"/>
        <v>646.4</v>
      </c>
      <c r="U8" s="43">
        <f t="shared" si="1"/>
        <v>656.6</v>
      </c>
      <c r="V8" s="44">
        <f t="shared" si="1"/>
        <v>481.40000000000003</v>
      </c>
      <c r="W8" s="43">
        <f t="shared" si="1"/>
        <v>863.59999999999991</v>
      </c>
      <c r="X8" s="43">
        <f t="shared" si="1"/>
        <v>928.8</v>
      </c>
    </row>
    <row r="9" spans="1:24" s="344" customFormat="1" ht="17.45" customHeight="1" x14ac:dyDescent="0.2">
      <c r="A9" s="172" t="s">
        <v>433</v>
      </c>
      <c r="B9" s="172" t="s">
        <v>193</v>
      </c>
      <c r="C9" s="341">
        <f>SUM(C6:C8)</f>
        <v>40774.6</v>
      </c>
      <c r="D9" s="342">
        <f t="shared" ref="D9:X9" si="2">SUM(D6:D8)</f>
        <v>40253.399999999994</v>
      </c>
      <c r="E9" s="342">
        <f t="shared" si="2"/>
        <v>40658.100000000006</v>
      </c>
      <c r="F9" s="342">
        <f t="shared" si="2"/>
        <v>44501.8</v>
      </c>
      <c r="G9" s="341">
        <f t="shared" si="2"/>
        <v>45311.8</v>
      </c>
      <c r="H9" s="342">
        <f t="shared" si="2"/>
        <v>47591</v>
      </c>
      <c r="I9" s="342">
        <f t="shared" si="2"/>
        <v>51269</v>
      </c>
      <c r="J9" s="343">
        <f t="shared" si="2"/>
        <v>47066.899999999994</v>
      </c>
      <c r="K9" s="341">
        <f t="shared" si="2"/>
        <v>46461.799999999996</v>
      </c>
      <c r="L9" s="342">
        <f t="shared" si="2"/>
        <v>45732.399999999994</v>
      </c>
      <c r="M9" s="342">
        <f t="shared" si="2"/>
        <v>46480.800000000003</v>
      </c>
      <c r="N9" s="343">
        <f t="shared" si="2"/>
        <v>47584.7</v>
      </c>
      <c r="O9" s="341">
        <f t="shared" si="2"/>
        <v>46184.2</v>
      </c>
      <c r="P9" s="342">
        <f t="shared" si="2"/>
        <v>45954.200000000004</v>
      </c>
      <c r="Q9" s="342">
        <f t="shared" si="2"/>
        <v>47667.899999999994</v>
      </c>
      <c r="R9" s="343">
        <f t="shared" si="2"/>
        <v>47400.1</v>
      </c>
      <c r="S9" s="341">
        <f t="shared" si="2"/>
        <v>46462.000000000007</v>
      </c>
      <c r="T9" s="342">
        <f t="shared" si="2"/>
        <v>48286.100000000006</v>
      </c>
      <c r="U9" s="342">
        <f t="shared" si="2"/>
        <v>50758.69999999999</v>
      </c>
      <c r="V9" s="343">
        <f t="shared" si="2"/>
        <v>52932.1</v>
      </c>
      <c r="W9" s="342">
        <f t="shared" si="2"/>
        <v>52439.9</v>
      </c>
      <c r="X9" s="342">
        <f t="shared" si="2"/>
        <v>54157</v>
      </c>
    </row>
    <row r="10" spans="1:24" s="10" customFormat="1" x14ac:dyDescent="0.2">
      <c r="A10" s="99" t="s">
        <v>517</v>
      </c>
      <c r="B10" s="99" t="s">
        <v>194</v>
      </c>
      <c r="C10" s="42">
        <f>SUM(C21)</f>
        <v>5229.6000000000004</v>
      </c>
      <c r="D10" s="43">
        <f t="shared" ref="D10:X10" si="3">SUM(D21)</f>
        <v>4791.1000000000004</v>
      </c>
      <c r="E10" s="43">
        <f t="shared" si="3"/>
        <v>3429.4999999999995</v>
      </c>
      <c r="F10" s="43">
        <f t="shared" si="3"/>
        <v>3069.2</v>
      </c>
      <c r="G10" s="42">
        <f t="shared" si="3"/>
        <v>3087.6000000000004</v>
      </c>
      <c r="H10" s="43">
        <f t="shared" si="3"/>
        <v>3933.6</v>
      </c>
      <c r="I10" s="43">
        <f t="shared" si="3"/>
        <v>3590.5</v>
      </c>
      <c r="J10" s="44">
        <f t="shared" si="3"/>
        <v>4514.8999999999996</v>
      </c>
      <c r="K10" s="42">
        <f t="shared" si="3"/>
        <v>5095.0999999999995</v>
      </c>
      <c r="L10" s="43">
        <f t="shared" si="3"/>
        <v>4150.3</v>
      </c>
      <c r="M10" s="43">
        <f t="shared" si="3"/>
        <v>4302.8</v>
      </c>
      <c r="N10" s="44">
        <f t="shared" si="3"/>
        <v>3686</v>
      </c>
      <c r="O10" s="42">
        <f t="shared" si="3"/>
        <v>3599.2999999999997</v>
      </c>
      <c r="P10" s="43">
        <f t="shared" si="3"/>
        <v>4025.6000000000004</v>
      </c>
      <c r="Q10" s="43">
        <f t="shared" si="3"/>
        <v>3285.7999999999997</v>
      </c>
      <c r="R10" s="44">
        <f t="shared" si="3"/>
        <v>2677.9</v>
      </c>
      <c r="S10" s="42">
        <f t="shared" si="3"/>
        <v>2871.3</v>
      </c>
      <c r="T10" s="43">
        <f t="shared" si="3"/>
        <v>2846.7000000000003</v>
      </c>
      <c r="U10" s="43">
        <f t="shared" si="3"/>
        <v>2478.6999999999998</v>
      </c>
      <c r="V10" s="44">
        <f t="shared" si="3"/>
        <v>3082.2</v>
      </c>
      <c r="W10" s="43">
        <f t="shared" si="3"/>
        <v>3123.1</v>
      </c>
      <c r="X10" s="43">
        <f t="shared" si="3"/>
        <v>3693.9999999999995</v>
      </c>
    </row>
    <row r="11" spans="1:24" s="10" customFormat="1" x14ac:dyDescent="0.2">
      <c r="A11" s="97" t="s">
        <v>518</v>
      </c>
      <c r="B11" s="97" t="s">
        <v>195</v>
      </c>
      <c r="C11" s="42">
        <f>SUM(C33)</f>
        <v>33602.9</v>
      </c>
      <c r="D11" s="43">
        <f t="shared" ref="D11:X11" si="4">SUM(D33)</f>
        <v>33331.4</v>
      </c>
      <c r="E11" s="43">
        <f t="shared" si="4"/>
        <v>34995.800000000003</v>
      </c>
      <c r="F11" s="43">
        <f t="shared" si="4"/>
        <v>38853.599999999999</v>
      </c>
      <c r="G11" s="42">
        <f t="shared" si="4"/>
        <v>39842.000000000007</v>
      </c>
      <c r="H11" s="43">
        <f t="shared" si="4"/>
        <v>40767.4</v>
      </c>
      <c r="I11" s="43">
        <f t="shared" si="4"/>
        <v>45113.399999999994</v>
      </c>
      <c r="J11" s="44">
        <f t="shared" si="4"/>
        <v>39629.599999999999</v>
      </c>
      <c r="K11" s="42">
        <f t="shared" si="4"/>
        <v>39166.700000000004</v>
      </c>
      <c r="L11" s="43">
        <f t="shared" si="4"/>
        <v>39907.4</v>
      </c>
      <c r="M11" s="43">
        <f t="shared" si="4"/>
        <v>40493.200000000004</v>
      </c>
      <c r="N11" s="44">
        <f t="shared" si="4"/>
        <v>42364.3</v>
      </c>
      <c r="O11" s="42">
        <f t="shared" si="4"/>
        <v>41033.700000000004</v>
      </c>
      <c r="P11" s="43">
        <f t="shared" si="4"/>
        <v>40545.500000000007</v>
      </c>
      <c r="Q11" s="43">
        <f t="shared" si="4"/>
        <v>41582.300000000003</v>
      </c>
      <c r="R11" s="44">
        <f t="shared" si="4"/>
        <v>43025.3</v>
      </c>
      <c r="S11" s="42">
        <f t="shared" si="4"/>
        <v>41801.299999999996</v>
      </c>
      <c r="T11" s="43">
        <f t="shared" si="4"/>
        <v>43799.9</v>
      </c>
      <c r="U11" s="43">
        <f t="shared" si="4"/>
        <v>46054.7</v>
      </c>
      <c r="V11" s="44">
        <f t="shared" si="4"/>
        <v>47745.2</v>
      </c>
      <c r="W11" s="43">
        <f t="shared" si="4"/>
        <v>47634.900000000009</v>
      </c>
      <c r="X11" s="43">
        <f t="shared" si="4"/>
        <v>48818.400000000001</v>
      </c>
    </row>
    <row r="12" spans="1:24" s="10" customFormat="1" ht="22.5" x14ac:dyDescent="0.2">
      <c r="A12" s="99" t="s">
        <v>519</v>
      </c>
      <c r="B12" s="99" t="s">
        <v>196</v>
      </c>
      <c r="C12" s="42">
        <f>SUM(C42)</f>
        <v>1942.1</v>
      </c>
      <c r="D12" s="43">
        <f t="shared" ref="D12:X12" si="5">SUM(D42)</f>
        <v>2130.8999999999996</v>
      </c>
      <c r="E12" s="43">
        <f t="shared" si="5"/>
        <v>2232.8000000000002</v>
      </c>
      <c r="F12" s="43">
        <f t="shared" si="5"/>
        <v>2579</v>
      </c>
      <c r="G12" s="42">
        <f t="shared" si="5"/>
        <v>2382.1999999999998</v>
      </c>
      <c r="H12" s="43">
        <f t="shared" si="5"/>
        <v>2890</v>
      </c>
      <c r="I12" s="43">
        <f t="shared" si="5"/>
        <v>2565.1</v>
      </c>
      <c r="J12" s="44">
        <f t="shared" si="5"/>
        <v>2922.3999999999996</v>
      </c>
      <c r="K12" s="42">
        <f t="shared" si="5"/>
        <v>2200</v>
      </c>
      <c r="L12" s="43">
        <f t="shared" si="5"/>
        <v>1674.7</v>
      </c>
      <c r="M12" s="43">
        <f t="shared" si="5"/>
        <v>1684.8</v>
      </c>
      <c r="N12" s="44">
        <f t="shared" si="5"/>
        <v>1534.3999999999999</v>
      </c>
      <c r="O12" s="42">
        <f t="shared" si="5"/>
        <v>1551.2</v>
      </c>
      <c r="P12" s="43">
        <f t="shared" si="5"/>
        <v>1383.1</v>
      </c>
      <c r="Q12" s="43">
        <f t="shared" si="5"/>
        <v>2799.7999999999997</v>
      </c>
      <c r="R12" s="44">
        <f t="shared" si="5"/>
        <v>1696.9</v>
      </c>
      <c r="S12" s="42">
        <f t="shared" si="5"/>
        <v>1789.4</v>
      </c>
      <c r="T12" s="43">
        <f t="shared" si="5"/>
        <v>1639.5000000000002</v>
      </c>
      <c r="U12" s="43">
        <f t="shared" si="5"/>
        <v>2225.2999999999997</v>
      </c>
      <c r="V12" s="44">
        <f t="shared" si="5"/>
        <v>2104.6999999999998</v>
      </c>
      <c r="W12" s="43">
        <f t="shared" si="5"/>
        <v>1681.9</v>
      </c>
      <c r="X12" s="43">
        <f t="shared" si="5"/>
        <v>1644.6000000000001</v>
      </c>
    </row>
    <row r="13" spans="1:24" x14ac:dyDescent="0.2">
      <c r="A13" s="137"/>
      <c r="B13" s="137"/>
      <c r="C13" s="42"/>
      <c r="D13" s="43"/>
      <c r="E13" s="43"/>
      <c r="F13" s="43"/>
      <c r="G13" s="42"/>
      <c r="H13" s="43"/>
      <c r="I13" s="43"/>
      <c r="J13" s="44"/>
      <c r="K13" s="42"/>
      <c r="L13" s="43"/>
      <c r="M13" s="43"/>
      <c r="N13" s="44"/>
      <c r="O13" s="42"/>
      <c r="P13" s="43"/>
      <c r="Q13" s="43"/>
      <c r="R13" s="44"/>
      <c r="S13" s="42"/>
      <c r="T13" s="43"/>
      <c r="U13" s="43"/>
      <c r="V13" s="44"/>
      <c r="W13" s="43"/>
      <c r="X13" s="43"/>
    </row>
    <row r="14" spans="1:24" s="349" customFormat="1" ht="15.6" customHeight="1" x14ac:dyDescent="0.2">
      <c r="A14" s="350" t="s">
        <v>434</v>
      </c>
      <c r="B14" s="350" t="s">
        <v>182</v>
      </c>
      <c r="C14" s="338"/>
      <c r="D14" s="339"/>
      <c r="E14" s="339"/>
      <c r="F14" s="339"/>
      <c r="G14" s="338"/>
      <c r="H14" s="339"/>
      <c r="I14" s="339"/>
      <c r="J14" s="340"/>
      <c r="K14" s="338"/>
      <c r="L14" s="339"/>
      <c r="M14" s="339"/>
      <c r="N14" s="340"/>
      <c r="O14" s="338"/>
      <c r="P14" s="339"/>
      <c r="Q14" s="339"/>
      <c r="R14" s="340"/>
      <c r="S14" s="338"/>
      <c r="T14" s="339"/>
      <c r="U14" s="339"/>
      <c r="V14" s="340"/>
      <c r="W14" s="339"/>
      <c r="X14" s="339"/>
    </row>
    <row r="15" spans="1:24" s="10" customFormat="1" ht="6" customHeight="1" x14ac:dyDescent="0.2">
      <c r="A15" s="99"/>
      <c r="B15" s="99"/>
      <c r="C15" s="42"/>
      <c r="D15" s="43"/>
      <c r="E15" s="43"/>
      <c r="F15" s="43"/>
      <c r="G15" s="42"/>
      <c r="H15" s="43"/>
      <c r="I15" s="43"/>
      <c r="J15" s="44"/>
      <c r="K15" s="42"/>
      <c r="L15" s="43"/>
      <c r="M15" s="43"/>
      <c r="N15" s="44"/>
      <c r="O15" s="42"/>
      <c r="P15" s="43"/>
      <c r="Q15" s="43"/>
      <c r="R15" s="44"/>
      <c r="S15" s="42"/>
      <c r="T15" s="43"/>
      <c r="U15" s="43"/>
      <c r="V15" s="44"/>
      <c r="W15" s="43"/>
      <c r="X15" s="43"/>
    </row>
    <row r="16" spans="1:24" s="10" customFormat="1" x14ac:dyDescent="0.2">
      <c r="A16" s="99" t="s">
        <v>430</v>
      </c>
      <c r="B16" s="99" t="s">
        <v>183</v>
      </c>
      <c r="C16" s="42">
        <f t="shared" ref="C16:E16" si="6">SUM(C17:C18)</f>
        <v>2886.5</v>
      </c>
      <c r="D16" s="43">
        <f t="shared" si="6"/>
        <v>2746.2000000000003</v>
      </c>
      <c r="E16" s="43">
        <f t="shared" si="6"/>
        <v>2399.6999999999998</v>
      </c>
      <c r="F16" s="43">
        <f>SUM(F17:F18)</f>
        <v>2226.6999999999998</v>
      </c>
      <c r="G16" s="42">
        <f t="shared" ref="G16:X16" si="7">SUM(G17:G18)</f>
        <v>2367.3000000000002</v>
      </c>
      <c r="H16" s="43">
        <f t="shared" si="7"/>
        <v>3588.7999999999997</v>
      </c>
      <c r="I16" s="43">
        <f t="shared" si="7"/>
        <v>3231.2</v>
      </c>
      <c r="J16" s="44">
        <f t="shared" si="7"/>
        <v>4267.5</v>
      </c>
      <c r="K16" s="42">
        <f t="shared" si="7"/>
        <v>4741.3999999999996</v>
      </c>
      <c r="L16" s="43">
        <f t="shared" si="7"/>
        <v>3815.8</v>
      </c>
      <c r="M16" s="43">
        <f t="shared" si="7"/>
        <v>4171.3</v>
      </c>
      <c r="N16" s="44">
        <f t="shared" si="7"/>
        <v>3306.6</v>
      </c>
      <c r="O16" s="42">
        <f t="shared" si="7"/>
        <v>3033.9</v>
      </c>
      <c r="P16" s="43">
        <f t="shared" si="7"/>
        <v>3736.4</v>
      </c>
      <c r="Q16" s="43">
        <f t="shared" si="7"/>
        <v>3177.2</v>
      </c>
      <c r="R16" s="44">
        <f t="shared" si="7"/>
        <v>2540.6</v>
      </c>
      <c r="S16" s="42">
        <f t="shared" si="7"/>
        <v>2641.2</v>
      </c>
      <c r="T16" s="43">
        <f t="shared" si="7"/>
        <v>2637.8</v>
      </c>
      <c r="U16" s="43">
        <f t="shared" si="7"/>
        <v>2304.6999999999998</v>
      </c>
      <c r="V16" s="44">
        <f t="shared" si="7"/>
        <v>2910</v>
      </c>
      <c r="W16" s="43">
        <f t="shared" si="7"/>
        <v>2952.2</v>
      </c>
      <c r="X16" s="43">
        <f t="shared" si="7"/>
        <v>3573.9999999999995</v>
      </c>
    </row>
    <row r="17" spans="1:24" s="73" customFormat="1" x14ac:dyDescent="0.2">
      <c r="A17" s="126" t="s">
        <v>435</v>
      </c>
      <c r="B17" s="126" t="s">
        <v>184</v>
      </c>
      <c r="C17" s="60">
        <v>2550.4</v>
      </c>
      <c r="D17" s="61">
        <v>2099.3000000000002</v>
      </c>
      <c r="E17" s="61">
        <v>1707.7</v>
      </c>
      <c r="F17" s="61">
        <v>1229.8</v>
      </c>
      <c r="G17" s="60">
        <v>1450</v>
      </c>
      <c r="H17" s="61">
        <v>2111.6999999999998</v>
      </c>
      <c r="I17" s="61">
        <v>1790.1</v>
      </c>
      <c r="J17" s="62">
        <v>1268.0999999999999</v>
      </c>
      <c r="K17" s="60">
        <v>1438</v>
      </c>
      <c r="L17" s="61">
        <v>1645.4</v>
      </c>
      <c r="M17" s="61">
        <v>1668.5</v>
      </c>
      <c r="N17" s="62">
        <v>1685.8</v>
      </c>
      <c r="O17" s="60">
        <v>1586</v>
      </c>
      <c r="P17" s="61">
        <v>1843.2</v>
      </c>
      <c r="Q17" s="61">
        <v>1615.7</v>
      </c>
      <c r="R17" s="62">
        <v>1442.5</v>
      </c>
      <c r="S17" s="60">
        <v>1418.5</v>
      </c>
      <c r="T17" s="61">
        <v>1715.1</v>
      </c>
      <c r="U17" s="61">
        <v>1396.9</v>
      </c>
      <c r="V17" s="62">
        <v>1250.8</v>
      </c>
      <c r="W17" s="61">
        <v>1709.6000000000001</v>
      </c>
      <c r="X17" s="61">
        <v>2449.8999999999996</v>
      </c>
    </row>
    <row r="18" spans="1:24" s="73" customFormat="1" x14ac:dyDescent="0.2">
      <c r="A18" s="126" t="s">
        <v>603</v>
      </c>
      <c r="B18" s="126" t="s">
        <v>185</v>
      </c>
      <c r="C18" s="60">
        <f>332.4+3.7</f>
        <v>336.09999999999997</v>
      </c>
      <c r="D18" s="61">
        <f>645+1.9</f>
        <v>646.9</v>
      </c>
      <c r="E18" s="61">
        <f>690.4+1.6</f>
        <v>692</v>
      </c>
      <c r="F18" s="61">
        <v>996.9</v>
      </c>
      <c r="G18" s="60">
        <v>917.3</v>
      </c>
      <c r="H18" s="61">
        <v>1477.1</v>
      </c>
      <c r="I18" s="61">
        <v>1441.1</v>
      </c>
      <c r="J18" s="62">
        <v>2999.4</v>
      </c>
      <c r="K18" s="60">
        <v>3303.4</v>
      </c>
      <c r="L18" s="61">
        <v>2170.4</v>
      </c>
      <c r="M18" s="61">
        <v>2502.8000000000002</v>
      </c>
      <c r="N18" s="62">
        <v>1620.8</v>
      </c>
      <c r="O18" s="60">
        <v>1447.9</v>
      </c>
      <c r="P18" s="61">
        <v>1893.2</v>
      </c>
      <c r="Q18" s="61">
        <v>1561.5</v>
      </c>
      <c r="R18" s="62">
        <v>1098.0999999999999</v>
      </c>
      <c r="S18" s="60">
        <v>1222.7</v>
      </c>
      <c r="T18" s="61">
        <v>922.7</v>
      </c>
      <c r="U18" s="61">
        <v>907.8</v>
      </c>
      <c r="V18" s="62">
        <v>1659.2</v>
      </c>
      <c r="W18" s="61">
        <v>1242.5999999999999</v>
      </c>
      <c r="X18" s="61">
        <v>1124.0999999999999</v>
      </c>
    </row>
    <row r="19" spans="1:24" s="10" customFormat="1" x14ac:dyDescent="0.2">
      <c r="A19" s="99" t="s">
        <v>431</v>
      </c>
      <c r="B19" s="99" t="s">
        <v>180</v>
      </c>
      <c r="C19" s="42">
        <v>2232.1</v>
      </c>
      <c r="D19" s="43">
        <v>1973</v>
      </c>
      <c r="E19" s="43">
        <v>979.6</v>
      </c>
      <c r="F19" s="43">
        <v>727</v>
      </c>
      <c r="G19" s="42">
        <v>636.29999999999995</v>
      </c>
      <c r="H19" s="43">
        <v>191.8</v>
      </c>
      <c r="I19" s="43">
        <v>274</v>
      </c>
      <c r="J19" s="44">
        <v>163.5</v>
      </c>
      <c r="K19" s="42">
        <v>226</v>
      </c>
      <c r="L19" s="43">
        <v>193.3</v>
      </c>
      <c r="M19" s="43">
        <v>15</v>
      </c>
      <c r="N19" s="44">
        <v>286.5</v>
      </c>
      <c r="O19" s="42">
        <v>464.7</v>
      </c>
      <c r="P19" s="43">
        <v>131.30000000000001</v>
      </c>
      <c r="Q19" s="43">
        <v>0</v>
      </c>
      <c r="R19" s="44">
        <v>0</v>
      </c>
      <c r="S19" s="42">
        <v>122.8</v>
      </c>
      <c r="T19" s="43">
        <v>99.1</v>
      </c>
      <c r="U19" s="43">
        <v>62</v>
      </c>
      <c r="V19" s="44">
        <v>116.1</v>
      </c>
      <c r="W19" s="43">
        <v>44</v>
      </c>
      <c r="X19" s="43">
        <v>3.6</v>
      </c>
    </row>
    <row r="20" spans="1:24" x14ac:dyDescent="0.2">
      <c r="A20" s="137" t="s">
        <v>432</v>
      </c>
      <c r="B20" s="137" t="s">
        <v>181</v>
      </c>
      <c r="C20" s="42">
        <v>111</v>
      </c>
      <c r="D20" s="43">
        <v>71.900000000000006</v>
      </c>
      <c r="E20" s="43">
        <f>50.2</f>
        <v>50.2</v>
      </c>
      <c r="F20" s="43">
        <v>115.5</v>
      </c>
      <c r="G20" s="42">
        <v>84</v>
      </c>
      <c r="H20" s="43">
        <v>153</v>
      </c>
      <c r="I20" s="43">
        <v>85.3</v>
      </c>
      <c r="J20" s="44">
        <v>83.9</v>
      </c>
      <c r="K20" s="42">
        <v>127.7</v>
      </c>
      <c r="L20" s="43">
        <v>141.19999999999999</v>
      </c>
      <c r="M20" s="43">
        <v>116.5</v>
      </c>
      <c r="N20" s="44">
        <v>92.9</v>
      </c>
      <c r="O20" s="42">
        <v>100.7</v>
      </c>
      <c r="P20" s="43">
        <v>157.9</v>
      </c>
      <c r="Q20" s="43">
        <v>108.6</v>
      </c>
      <c r="R20" s="44">
        <v>137.30000000000001</v>
      </c>
      <c r="S20" s="42">
        <v>107.3</v>
      </c>
      <c r="T20" s="43">
        <v>109.8</v>
      </c>
      <c r="U20" s="43">
        <v>112</v>
      </c>
      <c r="V20" s="44">
        <v>56.1</v>
      </c>
      <c r="W20" s="43">
        <v>126.9</v>
      </c>
      <c r="X20" s="43">
        <v>116.4</v>
      </c>
    </row>
    <row r="21" spans="1:24" s="14" customFormat="1" x14ac:dyDescent="0.2">
      <c r="A21" s="109" t="s">
        <v>436</v>
      </c>
      <c r="B21" s="109" t="s">
        <v>186</v>
      </c>
      <c r="C21" s="103">
        <f>C16+C19+C20</f>
        <v>5229.6000000000004</v>
      </c>
      <c r="D21" s="104">
        <f t="shared" ref="D21:X21" si="8">D16+D19+D20</f>
        <v>4791.1000000000004</v>
      </c>
      <c r="E21" s="104">
        <f t="shared" si="8"/>
        <v>3429.4999999999995</v>
      </c>
      <c r="F21" s="104">
        <f>F16+F19+F20</f>
        <v>3069.2</v>
      </c>
      <c r="G21" s="103">
        <f t="shared" si="8"/>
        <v>3087.6000000000004</v>
      </c>
      <c r="H21" s="104">
        <f t="shared" si="8"/>
        <v>3933.6</v>
      </c>
      <c r="I21" s="104">
        <f t="shared" si="8"/>
        <v>3590.5</v>
      </c>
      <c r="J21" s="105">
        <f t="shared" si="8"/>
        <v>4514.8999999999996</v>
      </c>
      <c r="K21" s="103">
        <f t="shared" si="8"/>
        <v>5095.0999999999995</v>
      </c>
      <c r="L21" s="104">
        <f t="shared" si="8"/>
        <v>4150.3</v>
      </c>
      <c r="M21" s="104">
        <f t="shared" si="8"/>
        <v>4302.8</v>
      </c>
      <c r="N21" s="105">
        <f t="shared" si="8"/>
        <v>3686</v>
      </c>
      <c r="O21" s="103">
        <f t="shared" si="8"/>
        <v>3599.2999999999997</v>
      </c>
      <c r="P21" s="104">
        <f t="shared" si="8"/>
        <v>4025.6000000000004</v>
      </c>
      <c r="Q21" s="104">
        <f t="shared" si="8"/>
        <v>3285.7999999999997</v>
      </c>
      <c r="R21" s="105">
        <f t="shared" si="8"/>
        <v>2677.9</v>
      </c>
      <c r="S21" s="103">
        <f t="shared" si="8"/>
        <v>2871.3</v>
      </c>
      <c r="T21" s="104">
        <f t="shared" si="8"/>
        <v>2846.7000000000003</v>
      </c>
      <c r="U21" s="104">
        <f t="shared" si="8"/>
        <v>2478.6999999999998</v>
      </c>
      <c r="V21" s="105">
        <f t="shared" si="8"/>
        <v>3082.2</v>
      </c>
      <c r="W21" s="104">
        <f t="shared" si="8"/>
        <v>3123.1</v>
      </c>
      <c r="X21" s="104">
        <f t="shared" si="8"/>
        <v>3693.9999999999995</v>
      </c>
    </row>
    <row r="22" spans="1:24" x14ac:dyDescent="0.2">
      <c r="A22" s="137"/>
      <c r="B22" s="137"/>
      <c r="C22" s="42"/>
      <c r="D22" s="43"/>
      <c r="E22" s="43"/>
      <c r="F22" s="43"/>
      <c r="G22" s="42"/>
      <c r="H22" s="43"/>
      <c r="I22" s="43"/>
      <c r="J22" s="44"/>
      <c r="K22" s="42"/>
      <c r="L22" s="43"/>
      <c r="M22" s="43"/>
      <c r="N22" s="44"/>
      <c r="O22" s="42"/>
      <c r="P22" s="43"/>
      <c r="Q22" s="43"/>
      <c r="R22" s="44"/>
      <c r="S22" s="42"/>
      <c r="T22" s="43"/>
      <c r="U22" s="43"/>
      <c r="V22" s="44"/>
      <c r="W22" s="43"/>
      <c r="X22" s="43"/>
    </row>
    <row r="23" spans="1:24" s="349" customFormat="1" ht="12" x14ac:dyDescent="0.2">
      <c r="A23" s="12" t="s">
        <v>437</v>
      </c>
      <c r="B23" s="12" t="s">
        <v>187</v>
      </c>
      <c r="C23" s="338"/>
      <c r="D23" s="339"/>
      <c r="E23" s="339"/>
      <c r="F23" s="339"/>
      <c r="G23" s="338"/>
      <c r="H23" s="339"/>
      <c r="I23" s="339"/>
      <c r="J23" s="340"/>
      <c r="K23" s="338"/>
      <c r="L23" s="339"/>
      <c r="M23" s="339"/>
      <c r="N23" s="340"/>
      <c r="O23" s="338"/>
      <c r="P23" s="339"/>
      <c r="Q23" s="339"/>
      <c r="R23" s="340"/>
      <c r="S23" s="338"/>
      <c r="T23" s="339"/>
      <c r="U23" s="339"/>
      <c r="V23" s="340"/>
      <c r="W23" s="339"/>
      <c r="X23" s="339"/>
    </row>
    <row r="24" spans="1:24" s="10" customFormat="1" x14ac:dyDescent="0.2">
      <c r="A24" s="99"/>
      <c r="B24" s="99"/>
      <c r="C24" s="42"/>
      <c r="D24" s="43"/>
      <c r="E24" s="43"/>
      <c r="F24" s="43"/>
      <c r="G24" s="42"/>
      <c r="H24" s="43"/>
      <c r="I24" s="43"/>
      <c r="J24" s="44"/>
      <c r="K24" s="42"/>
      <c r="L24" s="43"/>
      <c r="M24" s="43"/>
      <c r="N24" s="44"/>
      <c r="O24" s="42"/>
      <c r="P24" s="43"/>
      <c r="Q24" s="43"/>
      <c r="R24" s="44"/>
      <c r="S24" s="42"/>
      <c r="T24" s="43"/>
      <c r="U24" s="43"/>
      <c r="V24" s="44"/>
      <c r="W24" s="43"/>
      <c r="X24" s="43"/>
    </row>
    <row r="25" spans="1:24" s="10" customFormat="1" x14ac:dyDescent="0.2">
      <c r="A25" s="99" t="s">
        <v>438</v>
      </c>
      <c r="B25" s="99" t="s">
        <v>188</v>
      </c>
      <c r="C25" s="42">
        <f>SUM(C26:C27)</f>
        <v>10570.4</v>
      </c>
      <c r="D25" s="43">
        <f t="shared" ref="D25:X25" si="9">SUM(D26:D27)</f>
        <v>10703.7</v>
      </c>
      <c r="E25" s="43">
        <f t="shared" si="9"/>
        <v>10969.1</v>
      </c>
      <c r="F25" s="43">
        <f t="shared" si="9"/>
        <v>12760.8</v>
      </c>
      <c r="G25" s="42">
        <f t="shared" si="9"/>
        <v>11704.400000000001</v>
      </c>
      <c r="H25" s="43">
        <f t="shared" si="9"/>
        <v>12007.7</v>
      </c>
      <c r="I25" s="43">
        <f t="shared" si="9"/>
        <v>12316.2</v>
      </c>
      <c r="J25" s="44">
        <f t="shared" si="9"/>
        <v>11173.5</v>
      </c>
      <c r="K25" s="42">
        <f t="shared" si="9"/>
        <v>10094</v>
      </c>
      <c r="L25" s="43">
        <f t="shared" si="9"/>
        <v>9973</v>
      </c>
      <c r="M25" s="43">
        <f t="shared" si="9"/>
        <v>10922.900000000001</v>
      </c>
      <c r="N25" s="44">
        <f t="shared" si="9"/>
        <v>11861.7</v>
      </c>
      <c r="O25" s="42">
        <f t="shared" si="9"/>
        <v>11717.6</v>
      </c>
      <c r="P25" s="43">
        <f t="shared" si="9"/>
        <v>11136.7</v>
      </c>
      <c r="Q25" s="43">
        <f t="shared" si="9"/>
        <v>11555</v>
      </c>
      <c r="R25" s="44">
        <f t="shared" si="9"/>
        <v>12483.599999999999</v>
      </c>
      <c r="S25" s="42">
        <f t="shared" si="9"/>
        <v>11140</v>
      </c>
      <c r="T25" s="43">
        <f t="shared" si="9"/>
        <v>12110.7</v>
      </c>
      <c r="U25" s="43">
        <f t="shared" si="9"/>
        <v>13100.099999999999</v>
      </c>
      <c r="V25" s="44">
        <f t="shared" si="9"/>
        <v>13887.300000000001</v>
      </c>
      <c r="W25" s="43">
        <f t="shared" si="9"/>
        <v>13203.2</v>
      </c>
      <c r="X25" s="43">
        <f t="shared" si="9"/>
        <v>12810.1</v>
      </c>
    </row>
    <row r="26" spans="1:24" s="73" customFormat="1" x14ac:dyDescent="0.2">
      <c r="A26" s="126" t="s">
        <v>435</v>
      </c>
      <c r="B26" s="126" t="s">
        <v>184</v>
      </c>
      <c r="C26" s="60">
        <v>5611.5</v>
      </c>
      <c r="D26" s="61">
        <v>6202.7</v>
      </c>
      <c r="E26" s="61">
        <v>6353.8</v>
      </c>
      <c r="F26" s="61">
        <v>7970.4</v>
      </c>
      <c r="G26" s="60">
        <v>6808.1</v>
      </c>
      <c r="H26" s="61">
        <v>7124.1</v>
      </c>
      <c r="I26" s="61">
        <v>7482.4</v>
      </c>
      <c r="J26" s="62">
        <v>7292.1</v>
      </c>
      <c r="K26" s="60">
        <v>7236.3</v>
      </c>
      <c r="L26" s="61">
        <v>7222.9</v>
      </c>
      <c r="M26" s="61">
        <v>8210.1</v>
      </c>
      <c r="N26" s="62">
        <v>7815.7</v>
      </c>
      <c r="O26" s="60">
        <v>8626.6</v>
      </c>
      <c r="P26" s="61">
        <v>8297.5</v>
      </c>
      <c r="Q26" s="61">
        <v>8454.7999999999993</v>
      </c>
      <c r="R26" s="62">
        <v>9153.4</v>
      </c>
      <c r="S26" s="60">
        <v>8251.6</v>
      </c>
      <c r="T26" s="61">
        <v>8908.9</v>
      </c>
      <c r="U26" s="61">
        <v>9529.4</v>
      </c>
      <c r="V26" s="62">
        <v>10224.700000000001</v>
      </c>
      <c r="W26" s="61">
        <v>8976.9</v>
      </c>
      <c r="X26" s="61">
        <v>9329.2000000000007</v>
      </c>
    </row>
    <row r="27" spans="1:24" s="73" customFormat="1" x14ac:dyDescent="0.2">
      <c r="A27" s="126" t="s">
        <v>603</v>
      </c>
      <c r="B27" s="126" t="s">
        <v>185</v>
      </c>
      <c r="C27" s="60">
        <f>4942+16.9</f>
        <v>4958.8999999999996</v>
      </c>
      <c r="D27" s="61">
        <f>4485.6+15.4</f>
        <v>4501</v>
      </c>
      <c r="E27" s="61">
        <f>4594.3+21</f>
        <v>4615.3</v>
      </c>
      <c r="F27" s="61">
        <v>4790.3999999999996</v>
      </c>
      <c r="G27" s="60">
        <v>4896.3</v>
      </c>
      <c r="H27" s="61">
        <v>4883.6000000000004</v>
      </c>
      <c r="I27" s="61">
        <v>4833.8</v>
      </c>
      <c r="J27" s="62">
        <v>3881.4</v>
      </c>
      <c r="K27" s="60">
        <v>2857.7</v>
      </c>
      <c r="L27" s="61">
        <v>2750.1</v>
      </c>
      <c r="M27" s="61">
        <v>2712.8</v>
      </c>
      <c r="N27" s="62">
        <v>4046</v>
      </c>
      <c r="O27" s="60">
        <v>3091</v>
      </c>
      <c r="P27" s="61">
        <v>2839.2</v>
      </c>
      <c r="Q27" s="61">
        <v>3100.2</v>
      </c>
      <c r="R27" s="62">
        <v>3330.2</v>
      </c>
      <c r="S27" s="60">
        <v>2888.4</v>
      </c>
      <c r="T27" s="61">
        <v>3201.8</v>
      </c>
      <c r="U27" s="61">
        <v>3570.7</v>
      </c>
      <c r="V27" s="62">
        <v>3662.6</v>
      </c>
      <c r="W27" s="61">
        <v>4226.3</v>
      </c>
      <c r="X27" s="61">
        <v>3480.8999999999996</v>
      </c>
    </row>
    <row r="28" spans="1:24" s="10" customFormat="1" x14ac:dyDescent="0.2">
      <c r="A28" s="99" t="s">
        <v>439</v>
      </c>
      <c r="B28" s="99" t="s">
        <v>189</v>
      </c>
      <c r="C28" s="42">
        <f>SUM(C29:C30)</f>
        <v>22505.9</v>
      </c>
      <c r="D28" s="43">
        <f t="shared" ref="D28:X28" si="10">SUM(D29:D30)</f>
        <v>22032.899999999998</v>
      </c>
      <c r="E28" s="43">
        <f t="shared" si="10"/>
        <v>23343.200000000001</v>
      </c>
      <c r="F28" s="43">
        <f t="shared" si="10"/>
        <v>25392.6</v>
      </c>
      <c r="G28" s="42">
        <f t="shared" si="10"/>
        <v>27654.9</v>
      </c>
      <c r="H28" s="43">
        <f t="shared" si="10"/>
        <v>28277.399999999998</v>
      </c>
      <c r="I28" s="43">
        <f t="shared" si="10"/>
        <v>32225</v>
      </c>
      <c r="J28" s="44">
        <f t="shared" si="10"/>
        <v>27945.699999999997</v>
      </c>
      <c r="K28" s="42">
        <f t="shared" si="10"/>
        <v>28475.8</v>
      </c>
      <c r="L28" s="43">
        <f t="shared" si="10"/>
        <v>29363.1</v>
      </c>
      <c r="M28" s="43">
        <f t="shared" si="10"/>
        <v>28963.399999999998</v>
      </c>
      <c r="N28" s="44">
        <f t="shared" si="10"/>
        <v>30039.7</v>
      </c>
      <c r="O28" s="42">
        <f t="shared" si="10"/>
        <v>28875.8</v>
      </c>
      <c r="P28" s="43">
        <f t="shared" si="10"/>
        <v>28969.9</v>
      </c>
      <c r="Q28" s="43">
        <f t="shared" si="10"/>
        <v>29558</v>
      </c>
      <c r="R28" s="44">
        <f t="shared" si="10"/>
        <v>30117.700000000004</v>
      </c>
      <c r="S28" s="42">
        <f t="shared" si="10"/>
        <v>30146.6</v>
      </c>
      <c r="T28" s="43">
        <f t="shared" si="10"/>
        <v>31154.799999999999</v>
      </c>
      <c r="U28" s="43">
        <f t="shared" si="10"/>
        <v>32412.1</v>
      </c>
      <c r="V28" s="44">
        <f t="shared" si="10"/>
        <v>33434.699999999997</v>
      </c>
      <c r="W28" s="43">
        <f t="shared" si="10"/>
        <v>33696.9</v>
      </c>
      <c r="X28" s="43">
        <f t="shared" si="10"/>
        <v>35197.300000000003</v>
      </c>
    </row>
    <row r="29" spans="1:24" s="138" customFormat="1" x14ac:dyDescent="0.2">
      <c r="A29" s="164" t="s">
        <v>435</v>
      </c>
      <c r="B29" s="164" t="s">
        <v>184</v>
      </c>
      <c r="C29" s="60">
        <v>3030</v>
      </c>
      <c r="D29" s="61">
        <v>2999.1</v>
      </c>
      <c r="E29" s="61">
        <v>2254.1</v>
      </c>
      <c r="F29" s="61">
        <v>2603.8000000000002</v>
      </c>
      <c r="G29" s="60">
        <v>3482.7</v>
      </c>
      <c r="H29" s="61">
        <v>3582.6</v>
      </c>
      <c r="I29" s="61">
        <v>2313.1</v>
      </c>
      <c r="J29" s="62">
        <v>3796.1</v>
      </c>
      <c r="K29" s="60">
        <v>3711.3</v>
      </c>
      <c r="L29" s="61">
        <v>3858.3</v>
      </c>
      <c r="M29" s="61">
        <v>3847.6</v>
      </c>
      <c r="N29" s="62">
        <v>4122.2</v>
      </c>
      <c r="O29" s="60">
        <v>3957.1</v>
      </c>
      <c r="P29" s="61">
        <v>4239.1000000000004</v>
      </c>
      <c r="Q29" s="61">
        <v>4257.5</v>
      </c>
      <c r="R29" s="62">
        <v>4792.3999999999996</v>
      </c>
      <c r="S29" s="60">
        <v>4926.8999999999996</v>
      </c>
      <c r="T29" s="61">
        <v>4957.8</v>
      </c>
      <c r="U29" s="61">
        <v>4880.8</v>
      </c>
      <c r="V29" s="62">
        <v>5065.5</v>
      </c>
      <c r="W29" s="61">
        <v>4983.6000000000004</v>
      </c>
      <c r="X29" s="61">
        <v>5215.3999999999996</v>
      </c>
    </row>
    <row r="30" spans="1:24" s="73" customFormat="1" x14ac:dyDescent="0.2">
      <c r="A30" s="126" t="s">
        <v>440</v>
      </c>
      <c r="B30" s="126" t="s">
        <v>190</v>
      </c>
      <c r="C30" s="60">
        <f>19433.2+42.7</f>
        <v>19475.900000000001</v>
      </c>
      <c r="D30" s="61">
        <f>18984.6+49.2</f>
        <v>19033.8</v>
      </c>
      <c r="E30" s="61">
        <f>21043.9+45.2</f>
        <v>21089.100000000002</v>
      </c>
      <c r="F30" s="61">
        <v>22788.799999999999</v>
      </c>
      <c r="G30" s="60">
        <v>24172.2</v>
      </c>
      <c r="H30" s="61">
        <v>24694.799999999999</v>
      </c>
      <c r="I30" s="61">
        <v>29911.9</v>
      </c>
      <c r="J30" s="62">
        <v>24149.599999999999</v>
      </c>
      <c r="K30" s="60">
        <v>24764.5</v>
      </c>
      <c r="L30" s="61">
        <v>25504.799999999999</v>
      </c>
      <c r="M30" s="61">
        <v>25115.8</v>
      </c>
      <c r="N30" s="62">
        <v>25917.5</v>
      </c>
      <c r="O30" s="60">
        <v>24918.7</v>
      </c>
      <c r="P30" s="61">
        <v>24730.799999999999</v>
      </c>
      <c r="Q30" s="61">
        <v>25300.5</v>
      </c>
      <c r="R30" s="62">
        <v>25325.300000000003</v>
      </c>
      <c r="S30" s="60">
        <v>25219.7</v>
      </c>
      <c r="T30" s="61">
        <v>26197</v>
      </c>
      <c r="U30" s="61">
        <v>27531.3</v>
      </c>
      <c r="V30" s="62">
        <v>28369.199999999997</v>
      </c>
      <c r="W30" s="61">
        <v>28713.3</v>
      </c>
      <c r="X30" s="61">
        <v>29981.9</v>
      </c>
    </row>
    <row r="31" spans="1:24" s="10" customFormat="1" x14ac:dyDescent="0.2">
      <c r="A31" s="99" t="s">
        <v>431</v>
      </c>
      <c r="B31" s="99" t="s">
        <v>180</v>
      </c>
      <c r="C31" s="42">
        <f>157.9+0.1</f>
        <v>158</v>
      </c>
      <c r="D31" s="43">
        <v>18.7</v>
      </c>
      <c r="E31" s="43">
        <f>83+0.2</f>
        <v>83.2</v>
      </c>
      <c r="F31" s="43">
        <v>128.30000000000001</v>
      </c>
      <c r="G31" s="42">
        <v>31.3</v>
      </c>
      <c r="H31" s="43">
        <v>14</v>
      </c>
      <c r="I31" s="43">
        <v>25.1</v>
      </c>
      <c r="J31" s="44">
        <v>18.3</v>
      </c>
      <c r="K31" s="42">
        <v>12.6</v>
      </c>
      <c r="L31" s="43">
        <v>6</v>
      </c>
      <c r="M31" s="43">
        <v>0</v>
      </c>
      <c r="N31" s="44">
        <v>0</v>
      </c>
      <c r="O31" s="42">
        <v>0</v>
      </c>
      <c r="P31" s="43">
        <v>0</v>
      </c>
      <c r="Q31" s="43">
        <v>0</v>
      </c>
      <c r="R31" s="44">
        <v>0</v>
      </c>
      <c r="S31" s="42">
        <v>0</v>
      </c>
      <c r="T31" s="43">
        <v>0</v>
      </c>
      <c r="U31" s="43">
        <v>0</v>
      </c>
      <c r="V31" s="44">
        <v>0</v>
      </c>
      <c r="W31" s="43">
        <v>0</v>
      </c>
      <c r="X31" s="43">
        <v>0</v>
      </c>
    </row>
    <row r="32" spans="1:24" x14ac:dyDescent="0.2">
      <c r="A32" s="137" t="s">
        <v>432</v>
      </c>
      <c r="B32" s="137" t="s">
        <v>181</v>
      </c>
      <c r="C32" s="42">
        <f>375.1+53.2-0.1-16.9-42.7</f>
        <v>368.6</v>
      </c>
      <c r="D32" s="43">
        <f>579.4+61.3-15.4-49.2</f>
        <v>576.09999999999991</v>
      </c>
      <c r="E32" s="43">
        <f>606.4+60.3-0.2-21-45.2</f>
        <v>600.29999999999984</v>
      </c>
      <c r="F32" s="43">
        <v>571.9</v>
      </c>
      <c r="G32" s="42">
        <v>451.4</v>
      </c>
      <c r="H32" s="43">
        <v>468.3</v>
      </c>
      <c r="I32" s="43">
        <v>547.1</v>
      </c>
      <c r="J32" s="44">
        <v>492.1</v>
      </c>
      <c r="K32" s="42">
        <v>584.29999999999995</v>
      </c>
      <c r="L32" s="43">
        <v>565.29999999999995</v>
      </c>
      <c r="M32" s="43">
        <v>606.9</v>
      </c>
      <c r="N32" s="44">
        <v>462.9</v>
      </c>
      <c r="O32" s="42">
        <v>440.3</v>
      </c>
      <c r="P32" s="43">
        <v>438.9</v>
      </c>
      <c r="Q32" s="43">
        <v>469.3</v>
      </c>
      <c r="R32" s="44">
        <v>424</v>
      </c>
      <c r="S32" s="42">
        <v>514.70000000000005</v>
      </c>
      <c r="T32" s="43">
        <v>534.4</v>
      </c>
      <c r="U32" s="43">
        <v>542.5</v>
      </c>
      <c r="V32" s="44">
        <v>423.2</v>
      </c>
      <c r="W32" s="43">
        <v>734.8</v>
      </c>
      <c r="X32" s="43">
        <v>811</v>
      </c>
    </row>
    <row r="33" spans="1:24" s="14" customFormat="1" x14ac:dyDescent="0.2">
      <c r="A33" s="109" t="s">
        <v>436</v>
      </c>
      <c r="B33" s="109" t="s">
        <v>115</v>
      </c>
      <c r="C33" s="103">
        <f>C25+C28+C31+C32</f>
        <v>33602.9</v>
      </c>
      <c r="D33" s="104">
        <f t="shared" ref="D33:X33" si="11">D25+D28+D31+D32</f>
        <v>33331.4</v>
      </c>
      <c r="E33" s="104">
        <f t="shared" si="11"/>
        <v>34995.800000000003</v>
      </c>
      <c r="F33" s="104">
        <f t="shared" si="11"/>
        <v>38853.599999999999</v>
      </c>
      <c r="G33" s="103">
        <f t="shared" si="11"/>
        <v>39842.000000000007</v>
      </c>
      <c r="H33" s="104">
        <f t="shared" si="11"/>
        <v>40767.4</v>
      </c>
      <c r="I33" s="104">
        <f t="shared" si="11"/>
        <v>45113.399999999994</v>
      </c>
      <c r="J33" s="105">
        <f t="shared" si="11"/>
        <v>39629.599999999999</v>
      </c>
      <c r="K33" s="103">
        <f t="shared" si="11"/>
        <v>39166.700000000004</v>
      </c>
      <c r="L33" s="104">
        <f t="shared" si="11"/>
        <v>39907.4</v>
      </c>
      <c r="M33" s="104">
        <f t="shared" si="11"/>
        <v>40493.200000000004</v>
      </c>
      <c r="N33" s="105">
        <f t="shared" si="11"/>
        <v>42364.3</v>
      </c>
      <c r="O33" s="103">
        <f t="shared" si="11"/>
        <v>41033.700000000004</v>
      </c>
      <c r="P33" s="104">
        <f t="shared" si="11"/>
        <v>40545.500000000007</v>
      </c>
      <c r="Q33" s="104">
        <f t="shared" si="11"/>
        <v>41582.300000000003</v>
      </c>
      <c r="R33" s="105">
        <f t="shared" si="11"/>
        <v>43025.3</v>
      </c>
      <c r="S33" s="103">
        <f t="shared" si="11"/>
        <v>41801.299999999996</v>
      </c>
      <c r="T33" s="104">
        <f t="shared" si="11"/>
        <v>43799.9</v>
      </c>
      <c r="U33" s="104">
        <f t="shared" si="11"/>
        <v>46054.7</v>
      </c>
      <c r="V33" s="105">
        <f t="shared" si="11"/>
        <v>47745.2</v>
      </c>
      <c r="W33" s="104">
        <f t="shared" si="11"/>
        <v>47634.900000000009</v>
      </c>
      <c r="X33" s="104">
        <f t="shared" si="11"/>
        <v>48818.400000000001</v>
      </c>
    </row>
    <row r="34" spans="1:24" s="10" customFormat="1" x14ac:dyDescent="0.2">
      <c r="A34" s="99"/>
      <c r="B34" s="99"/>
      <c r="C34" s="42"/>
      <c r="D34" s="43"/>
      <c r="E34" s="43"/>
      <c r="F34" s="43"/>
      <c r="G34" s="42"/>
      <c r="H34" s="43"/>
      <c r="I34" s="43"/>
      <c r="J34" s="44"/>
      <c r="K34" s="42"/>
      <c r="L34" s="43"/>
      <c r="M34" s="43"/>
      <c r="N34" s="44"/>
      <c r="O34" s="42"/>
      <c r="P34" s="43"/>
      <c r="Q34" s="43"/>
      <c r="R34" s="44"/>
      <c r="S34" s="42"/>
      <c r="T34" s="43"/>
      <c r="U34" s="43"/>
      <c r="V34" s="44"/>
      <c r="W34" s="43"/>
      <c r="X34" s="43"/>
    </row>
    <row r="35" spans="1:24" s="349" customFormat="1" ht="24" x14ac:dyDescent="0.2">
      <c r="A35" s="12" t="s">
        <v>441</v>
      </c>
      <c r="B35" s="12" t="s">
        <v>191</v>
      </c>
      <c r="C35" s="338"/>
      <c r="D35" s="339"/>
      <c r="E35" s="339"/>
      <c r="F35" s="339"/>
      <c r="G35" s="338"/>
      <c r="H35" s="339"/>
      <c r="I35" s="339"/>
      <c r="J35" s="340"/>
      <c r="K35" s="338"/>
      <c r="L35" s="339"/>
      <c r="M35" s="339"/>
      <c r="N35" s="340"/>
      <c r="O35" s="338"/>
      <c r="P35" s="339"/>
      <c r="Q35" s="339"/>
      <c r="R35" s="340"/>
      <c r="S35" s="338"/>
      <c r="T35" s="339"/>
      <c r="U35" s="339"/>
      <c r="V35" s="340"/>
      <c r="W35" s="339"/>
      <c r="X35" s="339"/>
    </row>
    <row r="36" spans="1:24" s="10" customFormat="1" x14ac:dyDescent="0.2">
      <c r="A36" s="99"/>
      <c r="B36" s="99"/>
      <c r="C36" s="42"/>
      <c r="D36" s="43"/>
      <c r="E36" s="43"/>
      <c r="F36" s="43"/>
      <c r="G36" s="42"/>
      <c r="H36" s="43"/>
      <c r="I36" s="43"/>
      <c r="J36" s="44"/>
      <c r="K36" s="42"/>
      <c r="L36" s="43"/>
      <c r="M36" s="43"/>
      <c r="N36" s="44"/>
      <c r="O36" s="42"/>
      <c r="P36" s="43"/>
      <c r="Q36" s="43"/>
      <c r="R36" s="44"/>
      <c r="S36" s="42"/>
      <c r="T36" s="43"/>
      <c r="U36" s="43"/>
      <c r="V36" s="44"/>
      <c r="W36" s="43"/>
      <c r="X36" s="43"/>
    </row>
    <row r="37" spans="1:24" s="10" customFormat="1" x14ac:dyDescent="0.2">
      <c r="A37" s="99" t="s">
        <v>430</v>
      </c>
      <c r="B37" s="99" t="s">
        <v>183</v>
      </c>
      <c r="C37" s="42">
        <f t="shared" ref="C37" si="12">SUM(C38:C39)</f>
        <v>1940.6999999999998</v>
      </c>
      <c r="D37" s="43">
        <f t="shared" ref="D37:X37" si="13">SUM(D38:D39)</f>
        <v>2130.1999999999998</v>
      </c>
      <c r="E37" s="43">
        <f t="shared" si="13"/>
        <v>2223.5</v>
      </c>
      <c r="F37" s="43">
        <f t="shared" si="13"/>
        <v>2572.4</v>
      </c>
      <c r="G37" s="42">
        <f t="shared" si="13"/>
        <v>2375</v>
      </c>
      <c r="H37" s="43">
        <f t="shared" si="13"/>
        <v>2885.4</v>
      </c>
      <c r="I37" s="43">
        <f t="shared" si="13"/>
        <v>2562.9</v>
      </c>
      <c r="J37" s="44">
        <f t="shared" si="13"/>
        <v>2886.2</v>
      </c>
      <c r="K37" s="42">
        <f t="shared" si="13"/>
        <v>2195.5</v>
      </c>
      <c r="L37" s="43">
        <f t="shared" si="13"/>
        <v>1661</v>
      </c>
      <c r="M37" s="43">
        <f t="shared" si="13"/>
        <v>1679.3</v>
      </c>
      <c r="N37" s="44">
        <f t="shared" si="13"/>
        <v>1508.2</v>
      </c>
      <c r="O37" s="42">
        <f t="shared" si="13"/>
        <v>1525.6000000000001</v>
      </c>
      <c r="P37" s="43">
        <f t="shared" si="13"/>
        <v>1382.5</v>
      </c>
      <c r="Q37" s="43">
        <f t="shared" si="13"/>
        <v>2799.2</v>
      </c>
      <c r="R37" s="44">
        <f t="shared" si="13"/>
        <v>1695</v>
      </c>
      <c r="S37" s="42">
        <f t="shared" si="13"/>
        <v>1787.3000000000002</v>
      </c>
      <c r="T37" s="43">
        <f t="shared" si="13"/>
        <v>1637.3000000000002</v>
      </c>
      <c r="U37" s="43">
        <f t="shared" si="13"/>
        <v>2223.1999999999998</v>
      </c>
      <c r="V37" s="44">
        <f t="shared" si="13"/>
        <v>2102.6</v>
      </c>
      <c r="W37" s="43">
        <f t="shared" si="13"/>
        <v>1680</v>
      </c>
      <c r="X37" s="43">
        <f t="shared" si="13"/>
        <v>1643.2</v>
      </c>
    </row>
    <row r="38" spans="1:24" s="73" customFormat="1" x14ac:dyDescent="0.2">
      <c r="A38" s="126" t="s">
        <v>435</v>
      </c>
      <c r="B38" s="126" t="s">
        <v>184</v>
      </c>
      <c r="C38" s="60">
        <v>852.5</v>
      </c>
      <c r="D38" s="61">
        <v>910</v>
      </c>
      <c r="E38" s="61">
        <v>1104.9000000000001</v>
      </c>
      <c r="F38" s="61">
        <v>2028.9</v>
      </c>
      <c r="G38" s="60">
        <v>1264.2</v>
      </c>
      <c r="H38" s="61">
        <v>1695.5</v>
      </c>
      <c r="I38" s="61">
        <v>1176.2</v>
      </c>
      <c r="J38" s="62">
        <v>2400.6999999999998</v>
      </c>
      <c r="K38" s="60">
        <v>1266.0999999999999</v>
      </c>
      <c r="L38" s="61">
        <v>1182.3</v>
      </c>
      <c r="M38" s="61">
        <v>1198.3</v>
      </c>
      <c r="N38" s="62">
        <v>1304</v>
      </c>
      <c r="O38" s="60">
        <v>1141.4000000000001</v>
      </c>
      <c r="P38" s="61">
        <v>1081.4000000000001</v>
      </c>
      <c r="Q38" s="61">
        <v>1878.3</v>
      </c>
      <c r="R38" s="62">
        <v>1455.3</v>
      </c>
      <c r="S38" s="60">
        <v>1357.9</v>
      </c>
      <c r="T38" s="61">
        <v>1285.7</v>
      </c>
      <c r="U38" s="61">
        <v>1569.5</v>
      </c>
      <c r="V38" s="62">
        <v>1930.9</v>
      </c>
      <c r="W38" s="61">
        <v>1216.3</v>
      </c>
      <c r="X38" s="61">
        <v>1254.5</v>
      </c>
    </row>
    <row r="39" spans="1:24" s="138" customFormat="1" x14ac:dyDescent="0.2">
      <c r="A39" s="126" t="s">
        <v>603</v>
      </c>
      <c r="B39" s="126" t="s">
        <v>185</v>
      </c>
      <c r="C39" s="60">
        <f>1086.6+1.6</f>
        <v>1088.1999999999998</v>
      </c>
      <c r="D39" s="61">
        <f>1218.2+2</f>
        <v>1220.2</v>
      </c>
      <c r="E39" s="61">
        <f>1116.5+2.1</f>
        <v>1118.5999999999999</v>
      </c>
      <c r="F39" s="61">
        <v>543.5</v>
      </c>
      <c r="G39" s="60">
        <v>1110.8</v>
      </c>
      <c r="H39" s="61">
        <v>1189.9000000000001</v>
      </c>
      <c r="I39" s="61">
        <v>1386.7</v>
      </c>
      <c r="J39" s="62">
        <v>485.5</v>
      </c>
      <c r="K39" s="60">
        <v>929.4</v>
      </c>
      <c r="L39" s="61">
        <v>478.7</v>
      </c>
      <c r="M39" s="61">
        <v>481</v>
      </c>
      <c r="N39" s="62">
        <v>204.2</v>
      </c>
      <c r="O39" s="60">
        <v>384.2</v>
      </c>
      <c r="P39" s="61">
        <v>301.10000000000002</v>
      </c>
      <c r="Q39" s="61">
        <v>920.9</v>
      </c>
      <c r="R39" s="62">
        <v>239.7</v>
      </c>
      <c r="S39" s="60">
        <v>429.4</v>
      </c>
      <c r="T39" s="61">
        <v>351.6</v>
      </c>
      <c r="U39" s="61">
        <v>653.70000000000005</v>
      </c>
      <c r="V39" s="62">
        <v>171.7</v>
      </c>
      <c r="W39" s="61">
        <v>463.7</v>
      </c>
      <c r="X39" s="61">
        <v>388.7</v>
      </c>
    </row>
    <row r="40" spans="1:24" x14ac:dyDescent="0.2">
      <c r="A40" s="99" t="s">
        <v>431</v>
      </c>
      <c r="B40" s="99" t="s">
        <v>180</v>
      </c>
      <c r="C40" s="42">
        <v>0</v>
      </c>
      <c r="D40" s="43">
        <v>0</v>
      </c>
      <c r="E40" s="43">
        <v>0</v>
      </c>
      <c r="F40" s="43">
        <v>0</v>
      </c>
      <c r="G40" s="42">
        <v>0</v>
      </c>
      <c r="H40" s="43">
        <v>0</v>
      </c>
      <c r="I40" s="43">
        <v>0</v>
      </c>
      <c r="J40" s="44">
        <v>20.2</v>
      </c>
      <c r="K40" s="42">
        <v>0</v>
      </c>
      <c r="L40" s="43">
        <v>0</v>
      </c>
      <c r="M40" s="43">
        <v>0</v>
      </c>
      <c r="N40" s="44">
        <v>25.1</v>
      </c>
      <c r="O40" s="42">
        <v>25</v>
      </c>
      <c r="P40" s="43">
        <v>0</v>
      </c>
      <c r="Q40" s="43">
        <v>0</v>
      </c>
      <c r="R40" s="44">
        <v>0</v>
      </c>
      <c r="S40" s="42">
        <v>0</v>
      </c>
      <c r="T40" s="43">
        <v>0</v>
      </c>
      <c r="U40" s="43">
        <v>0</v>
      </c>
      <c r="V40" s="44">
        <v>0</v>
      </c>
      <c r="W40" s="43">
        <v>0</v>
      </c>
      <c r="X40" s="43">
        <v>0</v>
      </c>
    </row>
    <row r="41" spans="1:24" x14ac:dyDescent="0.2">
      <c r="A41" s="26" t="s">
        <v>432</v>
      </c>
      <c r="B41" s="26" t="s">
        <v>181</v>
      </c>
      <c r="C41" s="42">
        <v>1.4</v>
      </c>
      <c r="D41" s="43">
        <v>0.7</v>
      </c>
      <c r="E41" s="43">
        <v>9.3000000000000007</v>
      </c>
      <c r="F41" s="43">
        <v>6.6</v>
      </c>
      <c r="G41" s="42">
        <v>7.2</v>
      </c>
      <c r="H41" s="43">
        <v>4.5999999999999996</v>
      </c>
      <c r="I41" s="43">
        <v>2.2000000000000002</v>
      </c>
      <c r="J41" s="44">
        <v>16</v>
      </c>
      <c r="K41" s="42">
        <v>4.5</v>
      </c>
      <c r="L41" s="43">
        <v>13.7</v>
      </c>
      <c r="M41" s="43">
        <v>5.5</v>
      </c>
      <c r="N41" s="44">
        <v>1.1000000000000001</v>
      </c>
      <c r="O41" s="42">
        <v>0.6</v>
      </c>
      <c r="P41" s="43">
        <v>0.6</v>
      </c>
      <c r="Q41" s="43">
        <v>0.6</v>
      </c>
      <c r="R41" s="44">
        <v>1.9</v>
      </c>
      <c r="S41" s="42">
        <v>2.1</v>
      </c>
      <c r="T41" s="43">
        <v>2.2000000000000002</v>
      </c>
      <c r="U41" s="43">
        <v>2.1</v>
      </c>
      <c r="V41" s="44">
        <v>2.1</v>
      </c>
      <c r="W41" s="43">
        <v>1.9</v>
      </c>
      <c r="X41" s="43">
        <v>1.4</v>
      </c>
    </row>
    <row r="42" spans="1:24" s="14" customFormat="1" x14ac:dyDescent="0.2">
      <c r="A42" s="109" t="s">
        <v>436</v>
      </c>
      <c r="B42" s="109" t="s">
        <v>115</v>
      </c>
      <c r="C42" s="103">
        <f>C37+C40+C41</f>
        <v>1942.1</v>
      </c>
      <c r="D42" s="104">
        <f t="shared" ref="D42:X42" si="14">D37+D40+D41</f>
        <v>2130.8999999999996</v>
      </c>
      <c r="E42" s="104">
        <f t="shared" si="14"/>
        <v>2232.8000000000002</v>
      </c>
      <c r="F42" s="104">
        <f t="shared" si="14"/>
        <v>2579</v>
      </c>
      <c r="G42" s="103">
        <f t="shared" si="14"/>
        <v>2382.1999999999998</v>
      </c>
      <c r="H42" s="104">
        <f t="shared" si="14"/>
        <v>2890</v>
      </c>
      <c r="I42" s="104">
        <f t="shared" si="14"/>
        <v>2565.1</v>
      </c>
      <c r="J42" s="105">
        <f t="shared" si="14"/>
        <v>2922.3999999999996</v>
      </c>
      <c r="K42" s="103">
        <f t="shared" si="14"/>
        <v>2200</v>
      </c>
      <c r="L42" s="104">
        <f t="shared" si="14"/>
        <v>1674.7</v>
      </c>
      <c r="M42" s="104">
        <f t="shared" si="14"/>
        <v>1684.8</v>
      </c>
      <c r="N42" s="105">
        <f t="shared" si="14"/>
        <v>1534.3999999999999</v>
      </c>
      <c r="O42" s="103">
        <f t="shared" si="14"/>
        <v>1551.2</v>
      </c>
      <c r="P42" s="104">
        <f t="shared" si="14"/>
        <v>1383.1</v>
      </c>
      <c r="Q42" s="104">
        <f t="shared" si="14"/>
        <v>2799.7999999999997</v>
      </c>
      <c r="R42" s="105">
        <f t="shared" si="14"/>
        <v>1696.9</v>
      </c>
      <c r="S42" s="103">
        <f t="shared" si="14"/>
        <v>1789.4</v>
      </c>
      <c r="T42" s="104">
        <f t="shared" si="14"/>
        <v>1639.5000000000002</v>
      </c>
      <c r="U42" s="104">
        <f t="shared" si="14"/>
        <v>2225.2999999999997</v>
      </c>
      <c r="V42" s="105">
        <f t="shared" si="14"/>
        <v>2104.6999999999998</v>
      </c>
      <c r="W42" s="104">
        <f t="shared" si="14"/>
        <v>1681.9</v>
      </c>
      <c r="X42" s="104">
        <f t="shared" si="14"/>
        <v>1644.6000000000001</v>
      </c>
    </row>
    <row r="44" spans="1:24" s="120" customFormat="1" ht="11.25" hidden="1" x14ac:dyDescent="0.2">
      <c r="A44" s="118"/>
      <c r="B44" s="118" t="s">
        <v>592</v>
      </c>
      <c r="C44" s="119">
        <f>C9-[1]Bilans!B31</f>
        <v>0</v>
      </c>
      <c r="D44" s="119">
        <f>D9-[1]Bilans!C31</f>
        <v>0</v>
      </c>
      <c r="E44" s="119">
        <f>E9-[1]Bilans!D31</f>
        <v>0</v>
      </c>
      <c r="F44" s="119">
        <f>F9-[1]Bilans!E31</f>
        <v>0</v>
      </c>
      <c r="G44" s="119">
        <f>G9-[1]Bilans!F31</f>
        <v>0</v>
      </c>
      <c r="H44" s="119">
        <f>H9-[1]Bilans!G31</f>
        <v>0</v>
      </c>
      <c r="I44" s="119">
        <f>I9-[1]Bilans!H31</f>
        <v>0</v>
      </c>
      <c r="J44" s="119">
        <f>J9-[1]Bilans!I31</f>
        <v>0</v>
      </c>
      <c r="K44" s="119">
        <f>K9-[1]Bilans!J31</f>
        <v>0</v>
      </c>
      <c r="L44" s="119">
        <f>L9-[1]Bilans!K31</f>
        <v>0</v>
      </c>
      <c r="M44" s="119">
        <f>M9-[1]Bilans!L31</f>
        <v>0</v>
      </c>
      <c r="N44" s="119">
        <f>N9-[1]Bilans!M31</f>
        <v>0</v>
      </c>
      <c r="O44" s="119">
        <f>O9-[1]Bilans!N31</f>
        <v>0</v>
      </c>
      <c r="P44" s="119">
        <f>P9-[1]Bilans!O31</f>
        <v>0</v>
      </c>
      <c r="Q44" s="119">
        <f>Q9-[1]Bilans!P31</f>
        <v>0</v>
      </c>
      <c r="R44" s="119">
        <f>R9-[1]Bilans!Q31</f>
        <v>0</v>
      </c>
      <c r="S44" s="119">
        <f>S9-[1]Bilans!R31</f>
        <v>0</v>
      </c>
      <c r="T44" s="119">
        <f>T9-[1]Bilans!S31</f>
        <v>0</v>
      </c>
      <c r="U44" s="119">
        <f>U9-[1]Bilans!T31</f>
        <v>0</v>
      </c>
      <c r="V44" s="119">
        <f>V9-[1]Bilans!U31</f>
        <v>0</v>
      </c>
      <c r="W44" s="119">
        <f>W9-[1]Bilans!V31</f>
        <v>0</v>
      </c>
      <c r="X44" s="119">
        <f>X9-[1]Bilans!W31</f>
        <v>0</v>
      </c>
    </row>
  </sheetData>
  <mergeCells count="8">
    <mergeCell ref="O3:R3"/>
    <mergeCell ref="S3:V3"/>
    <mergeCell ref="W3:X3"/>
    <mergeCell ref="A3:A4"/>
    <mergeCell ref="B3:B4"/>
    <mergeCell ref="C3:F3"/>
    <mergeCell ref="G3:J3"/>
    <mergeCell ref="K3:N3"/>
  </mergeCells>
  <printOptions horizontalCentered="1"/>
  <pageMargins left="0.23622047244094491" right="0.23622047244094491" top="0.74803149606299213" bottom="0.74803149606299213" header="0.31496062992125984" footer="0.31496062992125984"/>
  <pageSetup paperSize="9" scale="52" orientation="landscape" r:id="rId1"/>
  <headerFooter alignWithMargins="0">
    <oddHeader xml:space="preserve">&amp;C&amp;"Times New Roman,Kursywa"&amp;12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0"/>
  <sheetViews>
    <sheetView showGridLines="0" view="pageBreakPreview" zoomScale="90" zoomScaleNormal="100" zoomScaleSheetLayoutView="90" workbookViewId="0">
      <pane xSplit="2" topLeftCell="L1" activePane="topRight" state="frozen"/>
      <selection activeCell="B1" sqref="B1"/>
      <selection pane="topRight" activeCell="A12" sqref="A12"/>
    </sheetView>
  </sheetViews>
  <sheetFormatPr defaultRowHeight="12.75" outlineLevelCol="1" x14ac:dyDescent="0.2"/>
  <cols>
    <col min="1" max="1" customWidth="true" width="69.42578125" collapsed="true"/>
    <col min="2" max="2" customWidth="true" hidden="true" width="69.42578125" collapsed="true" outlineLevel="1"/>
    <col min="3" max="3" width="8.85546875" collapsed="true"/>
    <col min="25" max="25" style="167" width="9.140625" collapsed="true"/>
  </cols>
  <sheetData>
    <row r="1" spans="1:24" x14ac:dyDescent="0.2">
      <c r="A1" s="2"/>
      <c r="B1" s="2"/>
      <c r="C1" s="4"/>
      <c r="D1" s="4"/>
      <c r="E1" s="4"/>
      <c r="F1" s="4"/>
      <c r="G1" s="4"/>
      <c r="H1" s="4"/>
      <c r="I1" s="4"/>
      <c r="J1" s="4"/>
      <c r="K1" s="3"/>
      <c r="L1" s="3"/>
      <c r="M1" s="3"/>
      <c r="N1" s="3"/>
      <c r="O1" s="3"/>
      <c r="P1" s="3"/>
      <c r="Q1" s="3"/>
      <c r="R1" s="3"/>
      <c r="S1" s="3"/>
      <c r="T1" s="3"/>
      <c r="U1" s="3"/>
      <c r="V1" s="3"/>
      <c r="W1" s="3"/>
      <c r="X1" s="3"/>
    </row>
    <row r="2" spans="1:24" x14ac:dyDescent="0.2">
      <c r="A2" s="2"/>
      <c r="B2" s="2"/>
      <c r="C2" s="4"/>
      <c r="D2" s="4"/>
      <c r="E2" s="4"/>
      <c r="F2" s="4"/>
      <c r="G2" s="4"/>
      <c r="H2" s="4"/>
      <c r="I2" s="4"/>
      <c r="J2" s="4"/>
      <c r="K2" s="3"/>
      <c r="L2" s="3"/>
      <c r="M2" s="3"/>
      <c r="N2" s="3"/>
      <c r="O2" s="3"/>
      <c r="P2" s="3"/>
      <c r="Q2" s="3"/>
      <c r="R2" s="3"/>
      <c r="S2" s="3"/>
      <c r="T2" s="3"/>
      <c r="U2" s="3"/>
      <c r="V2" s="3"/>
      <c r="W2" s="3"/>
      <c r="X2" s="3"/>
    </row>
    <row r="3" spans="1:24" x14ac:dyDescent="0.2">
      <c r="A3" s="110" t="s">
        <v>730</v>
      </c>
      <c r="B3" s="110" t="s">
        <v>729</v>
      </c>
      <c r="C3" s="4"/>
      <c r="D3" s="4"/>
      <c r="E3" s="4"/>
      <c r="F3" s="4"/>
      <c r="G3" s="4"/>
      <c r="H3" s="4"/>
      <c r="I3" s="4"/>
      <c r="J3" s="4"/>
      <c r="K3" s="3"/>
      <c r="L3" s="3"/>
      <c r="M3" s="3"/>
      <c r="N3" s="3"/>
      <c r="O3" s="3"/>
      <c r="P3" s="3"/>
      <c r="Q3" s="3"/>
      <c r="R3" s="3"/>
      <c r="S3" s="3"/>
      <c r="T3" s="3"/>
      <c r="U3" s="3"/>
      <c r="V3" s="3"/>
      <c r="W3" s="3"/>
      <c r="X3" s="3"/>
    </row>
    <row r="4" spans="1:24" x14ac:dyDescent="0.2">
      <c r="A4" s="2"/>
      <c r="B4" s="2"/>
      <c r="C4" s="4"/>
      <c r="D4" s="4"/>
      <c r="E4" s="4"/>
      <c r="F4" s="4"/>
      <c r="G4" s="4"/>
      <c r="H4" s="4"/>
      <c r="I4" s="4"/>
      <c r="J4" s="4"/>
      <c r="K4" s="3"/>
      <c r="L4" s="3"/>
      <c r="M4" s="3"/>
      <c r="N4" s="3"/>
      <c r="O4" s="3"/>
      <c r="P4" s="3"/>
      <c r="Q4" s="3"/>
      <c r="R4" s="3"/>
      <c r="S4" s="3"/>
      <c r="T4" s="3"/>
      <c r="U4" s="3"/>
      <c r="V4" s="3"/>
      <c r="W4" s="3"/>
      <c r="X4" s="3"/>
    </row>
    <row r="5" spans="1:24" x14ac:dyDescent="0.2">
      <c r="A5" s="2"/>
      <c r="B5" s="2"/>
      <c r="C5" s="4"/>
      <c r="D5" s="4"/>
      <c r="E5" s="4"/>
      <c r="F5" s="4"/>
      <c r="G5" s="4"/>
      <c r="H5" s="4"/>
      <c r="I5" s="4"/>
      <c r="J5" s="4"/>
      <c r="K5" s="3"/>
      <c r="L5" s="3"/>
      <c r="M5" s="3"/>
      <c r="N5" s="3"/>
      <c r="O5" s="3"/>
      <c r="P5" s="3"/>
      <c r="Q5" s="3"/>
      <c r="R5" s="3"/>
      <c r="S5" s="3"/>
      <c r="T5" s="3"/>
      <c r="U5" s="3"/>
      <c r="V5" s="3"/>
      <c r="W5" s="3"/>
      <c r="X5" s="3"/>
    </row>
    <row r="6" spans="1:24" x14ac:dyDescent="0.2">
      <c r="A6" s="2"/>
      <c r="B6" s="2"/>
      <c r="C6" s="4"/>
      <c r="D6" s="4"/>
      <c r="E6" s="4"/>
      <c r="F6" s="4"/>
      <c r="G6" s="4"/>
      <c r="H6" s="4"/>
      <c r="I6" s="4"/>
      <c r="J6" s="4"/>
      <c r="K6" s="3"/>
      <c r="L6" s="3"/>
      <c r="M6" s="3"/>
      <c r="N6" s="3"/>
      <c r="O6" s="3"/>
      <c r="P6" s="3"/>
      <c r="Q6" s="3"/>
      <c r="R6" s="3"/>
      <c r="S6" s="3"/>
      <c r="T6" s="3"/>
      <c r="U6" s="3"/>
      <c r="V6" s="3"/>
      <c r="W6" s="3"/>
      <c r="X6" s="3"/>
    </row>
    <row r="7" spans="1:24" x14ac:dyDescent="0.2">
      <c r="A7" s="2"/>
      <c r="B7" s="2"/>
      <c r="C7" s="4"/>
      <c r="D7" s="4"/>
      <c r="E7" s="4"/>
      <c r="F7" s="4"/>
      <c r="G7" s="4"/>
      <c r="H7" s="4"/>
      <c r="I7" s="4"/>
      <c r="J7" s="4"/>
      <c r="K7" s="3"/>
      <c r="L7" s="3"/>
      <c r="M7" s="3"/>
      <c r="N7" s="3"/>
      <c r="O7" s="3"/>
      <c r="P7" s="3"/>
      <c r="Q7" s="3"/>
      <c r="R7" s="3"/>
      <c r="S7" s="3"/>
      <c r="T7" s="3"/>
      <c r="U7" s="3"/>
      <c r="V7" s="3"/>
      <c r="W7" s="3"/>
      <c r="X7" s="3"/>
    </row>
    <row r="8" spans="1:24" s="167" customFormat="1" x14ac:dyDescent="0.2">
      <c r="A8" s="2"/>
      <c r="B8" s="2"/>
      <c r="C8" s="4"/>
      <c r="D8" s="4"/>
      <c r="E8" s="4"/>
      <c r="F8" s="4"/>
      <c r="G8" s="4"/>
      <c r="H8" s="4"/>
      <c r="I8" s="4"/>
      <c r="J8" s="4"/>
      <c r="K8" s="3"/>
      <c r="L8" s="3"/>
      <c r="M8" s="3"/>
      <c r="N8" s="3"/>
      <c r="O8" s="3"/>
      <c r="P8" s="3"/>
      <c r="Q8" s="3"/>
      <c r="R8" s="3"/>
      <c r="S8" s="3"/>
      <c r="T8" s="3"/>
      <c r="U8" s="3"/>
      <c r="V8" s="3"/>
      <c r="W8" s="3"/>
      <c r="X8" s="3"/>
    </row>
    <row r="9" spans="1:24" s="167" customFormat="1" x14ac:dyDescent="0.2">
      <c r="A9" s="2"/>
      <c r="B9" s="2"/>
      <c r="C9" s="4"/>
      <c r="D9" s="4"/>
      <c r="E9" s="4"/>
      <c r="F9" s="4"/>
      <c r="G9" s="4"/>
      <c r="H9" s="4"/>
      <c r="I9" s="4"/>
      <c r="J9" s="4"/>
      <c r="K9" s="3"/>
      <c r="L9" s="3"/>
      <c r="M9" s="3"/>
      <c r="N9" s="3"/>
      <c r="O9" s="3"/>
      <c r="P9" s="3"/>
      <c r="Q9" s="3"/>
      <c r="R9" s="3"/>
      <c r="S9" s="3"/>
      <c r="T9" s="3"/>
      <c r="U9" s="3"/>
      <c r="V9" s="3"/>
      <c r="W9" s="3"/>
      <c r="X9" s="3"/>
    </row>
    <row r="10" spans="1:24" s="167" customFormat="1" ht="11.25" customHeight="1" x14ac:dyDescent="0.2">
      <c r="A10" s="385" t="s">
        <v>442</v>
      </c>
      <c r="B10" s="385" t="s">
        <v>197</v>
      </c>
      <c r="C10" s="383">
        <v>2007</v>
      </c>
      <c r="D10" s="384"/>
      <c r="E10" s="384"/>
      <c r="F10" s="384"/>
      <c r="G10" s="383">
        <v>2008</v>
      </c>
      <c r="H10" s="384"/>
      <c r="I10" s="384"/>
      <c r="J10" s="384"/>
      <c r="K10" s="383">
        <v>2009</v>
      </c>
      <c r="L10" s="384"/>
      <c r="M10" s="384"/>
      <c r="N10" s="384"/>
      <c r="O10" s="383">
        <v>2010</v>
      </c>
      <c r="P10" s="384"/>
      <c r="Q10" s="384"/>
      <c r="R10" s="384"/>
      <c r="S10" s="383">
        <v>2011</v>
      </c>
      <c r="T10" s="384"/>
      <c r="U10" s="384"/>
      <c r="V10" s="384"/>
      <c r="W10" s="383">
        <v>2012</v>
      </c>
      <c r="X10" s="384"/>
    </row>
    <row r="11" spans="1:24" s="167" customFormat="1" ht="11.25" customHeight="1" x14ac:dyDescent="0.2">
      <c r="A11" s="386"/>
      <c r="B11" s="386"/>
      <c r="C11" s="37" t="s">
        <v>253</v>
      </c>
      <c r="D11" s="38" t="s">
        <v>254</v>
      </c>
      <c r="E11" s="38" t="s">
        <v>255</v>
      </c>
      <c r="F11" s="38" t="s">
        <v>256</v>
      </c>
      <c r="G11" s="37" t="s">
        <v>253</v>
      </c>
      <c r="H11" s="38" t="s">
        <v>254</v>
      </c>
      <c r="I11" s="38" t="s">
        <v>255</v>
      </c>
      <c r="J11" s="39" t="s">
        <v>256</v>
      </c>
      <c r="K11" s="37" t="s">
        <v>253</v>
      </c>
      <c r="L11" s="38" t="s">
        <v>254</v>
      </c>
      <c r="M11" s="38" t="s">
        <v>255</v>
      </c>
      <c r="N11" s="39" t="s">
        <v>256</v>
      </c>
      <c r="O11" s="37" t="s">
        <v>253</v>
      </c>
      <c r="P11" s="38" t="s">
        <v>254</v>
      </c>
      <c r="Q11" s="38" t="s">
        <v>255</v>
      </c>
      <c r="R11" s="39" t="s">
        <v>256</v>
      </c>
      <c r="S11" s="37" t="s">
        <v>253</v>
      </c>
      <c r="T11" s="38" t="s">
        <v>254</v>
      </c>
      <c r="U11" s="38" t="s">
        <v>255</v>
      </c>
      <c r="V11" s="39" t="s">
        <v>256</v>
      </c>
      <c r="W11" s="38" t="s">
        <v>253</v>
      </c>
      <c r="X11" s="38" t="s">
        <v>254</v>
      </c>
    </row>
    <row r="12" spans="1:24" s="167" customFormat="1" ht="12.75" customHeight="1" x14ac:dyDescent="0.2">
      <c r="A12" s="21" t="s">
        <v>258</v>
      </c>
      <c r="B12" s="21" t="s">
        <v>15</v>
      </c>
      <c r="C12" s="17"/>
      <c r="D12" s="7"/>
      <c r="E12" s="6"/>
      <c r="F12" s="7"/>
      <c r="G12" s="17"/>
      <c r="H12" s="7"/>
      <c r="I12" s="6"/>
      <c r="J12" s="18"/>
      <c r="K12" s="17"/>
      <c r="L12" s="7"/>
      <c r="M12" s="6"/>
      <c r="N12" s="18"/>
      <c r="O12" s="17"/>
      <c r="P12" s="7"/>
      <c r="Q12" s="6"/>
      <c r="R12" s="18"/>
      <c r="S12" s="17"/>
      <c r="T12" s="7"/>
      <c r="U12" s="6"/>
      <c r="V12" s="18"/>
      <c r="W12" s="6"/>
      <c r="X12" s="6"/>
    </row>
    <row r="13" spans="1:24" s="167" customFormat="1" ht="12" x14ac:dyDescent="0.2">
      <c r="A13" s="9" t="s">
        <v>443</v>
      </c>
      <c r="B13" s="9" t="s">
        <v>217</v>
      </c>
      <c r="C13" s="42"/>
      <c r="D13" s="43"/>
      <c r="E13" s="43"/>
      <c r="F13" s="43"/>
      <c r="G13" s="42"/>
      <c r="H13" s="43"/>
      <c r="I13" s="43"/>
      <c r="J13" s="44"/>
      <c r="K13" s="42"/>
      <c r="L13" s="43"/>
      <c r="M13" s="43"/>
      <c r="N13" s="44"/>
      <c r="O13" s="42"/>
      <c r="P13" s="43"/>
      <c r="Q13" s="43"/>
      <c r="R13" s="44"/>
      <c r="S13" s="42"/>
      <c r="T13" s="43"/>
      <c r="U13" s="43"/>
      <c r="V13" s="44"/>
      <c r="W13" s="43"/>
      <c r="X13" s="43"/>
    </row>
    <row r="14" spans="1:24" s="167" customFormat="1" ht="12" x14ac:dyDescent="0.2">
      <c r="A14" s="5" t="s">
        <v>444</v>
      </c>
      <c r="B14" s="5" t="s">
        <v>198</v>
      </c>
      <c r="C14" s="42">
        <v>130.1</v>
      </c>
      <c r="D14" s="43">
        <v>130.1</v>
      </c>
      <c r="E14" s="43">
        <v>130.1</v>
      </c>
      <c r="F14" s="43">
        <v>130.1</v>
      </c>
      <c r="G14" s="42">
        <v>130.1</v>
      </c>
      <c r="H14" s="43">
        <v>130.1</v>
      </c>
      <c r="I14" s="43">
        <v>130.1</v>
      </c>
      <c r="J14" s="44">
        <v>130.1</v>
      </c>
      <c r="K14" s="42">
        <v>130.1</v>
      </c>
      <c r="L14" s="43">
        <v>130.1</v>
      </c>
      <c r="M14" s="43">
        <v>130.1</v>
      </c>
      <c r="N14" s="44">
        <v>130.1</v>
      </c>
      <c r="O14" s="42">
        <v>130.1</v>
      </c>
      <c r="P14" s="43">
        <v>130.1</v>
      </c>
      <c r="Q14" s="43">
        <v>130.1</v>
      </c>
      <c r="R14" s="44">
        <v>130.1</v>
      </c>
      <c r="S14" s="42">
        <v>130.1</v>
      </c>
      <c r="T14" s="43">
        <v>130.1</v>
      </c>
      <c r="U14" s="43">
        <v>130.1</v>
      </c>
      <c r="V14" s="44">
        <v>130.1</v>
      </c>
      <c r="W14" s="43">
        <v>130.1</v>
      </c>
      <c r="X14" s="43">
        <v>130.10000000000002</v>
      </c>
    </row>
    <row r="15" spans="1:24" s="167" customFormat="1" ht="12" x14ac:dyDescent="0.2">
      <c r="A15" s="5" t="s">
        <v>445</v>
      </c>
      <c r="B15" s="5" t="s">
        <v>199</v>
      </c>
      <c r="C15" s="42">
        <v>956.3</v>
      </c>
      <c r="D15" s="43">
        <v>956.3</v>
      </c>
      <c r="E15" s="43">
        <v>956.3</v>
      </c>
      <c r="F15" s="43">
        <v>956.3</v>
      </c>
      <c r="G15" s="42">
        <v>956.3</v>
      </c>
      <c r="H15" s="43">
        <v>956.3</v>
      </c>
      <c r="I15" s="43">
        <v>956.3</v>
      </c>
      <c r="J15" s="44">
        <v>956.3</v>
      </c>
      <c r="K15" s="42">
        <v>956.3</v>
      </c>
      <c r="L15" s="43">
        <v>956.3</v>
      </c>
      <c r="M15" s="43">
        <v>956.3</v>
      </c>
      <c r="N15" s="44">
        <v>956.3</v>
      </c>
      <c r="O15" s="42">
        <v>956.3</v>
      </c>
      <c r="P15" s="43">
        <v>956.3</v>
      </c>
      <c r="Q15" s="43">
        <v>956.3</v>
      </c>
      <c r="R15" s="44">
        <v>956.3</v>
      </c>
      <c r="S15" s="42">
        <v>956.3</v>
      </c>
      <c r="T15" s="43">
        <v>956.3</v>
      </c>
      <c r="U15" s="43">
        <v>956.3</v>
      </c>
      <c r="V15" s="44">
        <v>956.3</v>
      </c>
      <c r="W15" s="43">
        <v>956.3</v>
      </c>
      <c r="X15" s="43">
        <v>956.3</v>
      </c>
    </row>
    <row r="16" spans="1:24" s="167" customFormat="1" ht="12" x14ac:dyDescent="0.2">
      <c r="A16" s="5" t="s">
        <v>446</v>
      </c>
      <c r="B16" s="5" t="s">
        <v>200</v>
      </c>
      <c r="C16" s="42">
        <v>61.1</v>
      </c>
      <c r="D16" s="43">
        <v>73.400000000000006</v>
      </c>
      <c r="E16" s="43">
        <v>73.400000000000006</v>
      </c>
      <c r="F16" s="43">
        <v>73.8</v>
      </c>
      <c r="G16" s="42">
        <v>73.8</v>
      </c>
      <c r="H16" s="43">
        <v>73.900000000000006</v>
      </c>
      <c r="I16" s="43">
        <v>73.900000000000006</v>
      </c>
      <c r="J16" s="44">
        <v>74.900000000000006</v>
      </c>
      <c r="K16" s="42">
        <v>74.900000000000006</v>
      </c>
      <c r="L16" s="43">
        <v>74.900000000000006</v>
      </c>
      <c r="M16" s="43">
        <v>74.900000000000006</v>
      </c>
      <c r="N16" s="44">
        <v>74.900000000000006</v>
      </c>
      <c r="O16" s="42">
        <v>74.900000000000006</v>
      </c>
      <c r="P16" s="43">
        <v>75</v>
      </c>
      <c r="Q16" s="43">
        <v>75</v>
      </c>
      <c r="R16" s="44">
        <v>75.099999999999994</v>
      </c>
      <c r="S16" s="42">
        <v>75.099999999999994</v>
      </c>
      <c r="T16" s="43">
        <v>75.2</v>
      </c>
      <c r="U16" s="43">
        <v>75.2</v>
      </c>
      <c r="V16" s="44">
        <v>75.400000000000006</v>
      </c>
      <c r="W16" s="43">
        <v>75.5</v>
      </c>
      <c r="X16" s="43">
        <v>96.399999999999977</v>
      </c>
    </row>
    <row r="17" spans="1:25" s="167" customFormat="1" ht="12" x14ac:dyDescent="0.2">
      <c r="A17" s="168" t="s">
        <v>447</v>
      </c>
      <c r="B17" s="168" t="s">
        <v>201</v>
      </c>
      <c r="C17" s="42">
        <v>1441.6000000000001</v>
      </c>
      <c r="D17" s="43">
        <v>1608.2</v>
      </c>
      <c r="E17" s="43">
        <v>1609.7</v>
      </c>
      <c r="F17" s="43">
        <v>1609.3</v>
      </c>
      <c r="G17" s="42">
        <v>1608.9</v>
      </c>
      <c r="H17" s="43">
        <v>1888.1</v>
      </c>
      <c r="I17" s="43">
        <v>1888.2</v>
      </c>
      <c r="J17" s="44">
        <v>1887.8</v>
      </c>
      <c r="K17" s="42">
        <v>1887.8</v>
      </c>
      <c r="L17" s="43">
        <v>2287.4</v>
      </c>
      <c r="M17" s="43">
        <v>2288.2000000000003</v>
      </c>
      <c r="N17" s="44">
        <v>2273.3000000000002</v>
      </c>
      <c r="O17" s="42">
        <v>2273.5</v>
      </c>
      <c r="P17" s="43">
        <v>2808.5</v>
      </c>
      <c r="Q17" s="43">
        <v>2808.6</v>
      </c>
      <c r="R17" s="44">
        <v>2808.5</v>
      </c>
      <c r="S17" s="42">
        <v>2810.5</v>
      </c>
      <c r="T17" s="43">
        <v>3309.2000000000003</v>
      </c>
      <c r="U17" s="43">
        <v>3310.3</v>
      </c>
      <c r="V17" s="44">
        <v>3312.6</v>
      </c>
      <c r="W17" s="43">
        <v>3306.8</v>
      </c>
      <c r="X17" s="43">
        <v>4117</v>
      </c>
    </row>
    <row r="18" spans="1:25" x14ac:dyDescent="0.2">
      <c r="A18" s="5" t="s">
        <v>448</v>
      </c>
      <c r="B18" s="5" t="s">
        <v>202</v>
      </c>
      <c r="C18" s="141">
        <v>0</v>
      </c>
      <c r="D18" s="142">
        <v>0</v>
      </c>
      <c r="E18" s="142">
        <v>0</v>
      </c>
      <c r="F18" s="142">
        <v>0</v>
      </c>
      <c r="G18" s="42">
        <v>0</v>
      </c>
      <c r="H18" s="43">
        <v>0</v>
      </c>
      <c r="I18" s="43">
        <v>407.5</v>
      </c>
      <c r="J18" s="44">
        <v>407.5</v>
      </c>
      <c r="K18" s="42">
        <v>0</v>
      </c>
      <c r="L18" s="43">
        <v>0</v>
      </c>
      <c r="M18" s="43">
        <v>263.5</v>
      </c>
      <c r="N18" s="44">
        <v>263.5</v>
      </c>
      <c r="O18" s="42">
        <v>0</v>
      </c>
      <c r="P18" s="43">
        <v>0</v>
      </c>
      <c r="Q18" s="43">
        <v>369</v>
      </c>
      <c r="R18" s="44">
        <v>369</v>
      </c>
      <c r="S18" s="42">
        <v>0</v>
      </c>
      <c r="T18" s="43">
        <v>0</v>
      </c>
      <c r="U18" s="43">
        <v>446.4</v>
      </c>
      <c r="V18" s="44">
        <v>446.4</v>
      </c>
      <c r="W18" s="43">
        <v>0</v>
      </c>
      <c r="X18" s="43">
        <v>271.50000000000006</v>
      </c>
    </row>
    <row r="19" spans="1:25" x14ac:dyDescent="0.2">
      <c r="A19" s="5" t="s">
        <v>457</v>
      </c>
      <c r="B19" s="5" t="s">
        <v>203</v>
      </c>
      <c r="C19" s="42">
        <v>0</v>
      </c>
      <c r="D19" s="43">
        <v>0</v>
      </c>
      <c r="E19" s="43">
        <v>0</v>
      </c>
      <c r="F19" s="43">
        <v>0</v>
      </c>
      <c r="G19" s="42">
        <v>478.5</v>
      </c>
      <c r="H19" s="43">
        <v>0</v>
      </c>
      <c r="I19" s="43">
        <v>0</v>
      </c>
      <c r="J19" s="44">
        <v>0</v>
      </c>
      <c r="K19" s="42">
        <v>445.4</v>
      </c>
      <c r="L19" s="43">
        <v>0</v>
      </c>
      <c r="M19" s="43">
        <v>0</v>
      </c>
      <c r="N19" s="44">
        <v>0</v>
      </c>
      <c r="O19" s="42">
        <v>595.1</v>
      </c>
      <c r="P19" s="43">
        <v>0</v>
      </c>
      <c r="Q19" s="43">
        <v>0</v>
      </c>
      <c r="R19" s="44">
        <v>0</v>
      </c>
      <c r="S19" s="42">
        <v>558</v>
      </c>
      <c r="T19" s="43">
        <v>0</v>
      </c>
      <c r="U19" s="43">
        <v>0</v>
      </c>
      <c r="V19" s="44">
        <v>0</v>
      </c>
      <c r="W19" s="43">
        <v>880.1</v>
      </c>
      <c r="X19" s="43">
        <v>0</v>
      </c>
    </row>
    <row r="20" spans="1:25" x14ac:dyDescent="0.2">
      <c r="A20" s="5" t="s">
        <v>449</v>
      </c>
      <c r="B20" s="5" t="s">
        <v>204</v>
      </c>
      <c r="C20" s="42">
        <v>25.9</v>
      </c>
      <c r="D20" s="43">
        <v>28.9</v>
      </c>
      <c r="E20" s="43">
        <v>1.7</v>
      </c>
      <c r="F20" s="43">
        <v>1.7</v>
      </c>
      <c r="G20" s="42">
        <v>1.7</v>
      </c>
      <c r="H20" s="43">
        <v>1.7</v>
      </c>
      <c r="I20" s="43">
        <v>1.8</v>
      </c>
      <c r="J20" s="44">
        <v>2.2999999999999998</v>
      </c>
      <c r="K20" s="42">
        <v>2.2999999999999998</v>
      </c>
      <c r="L20" s="43">
        <v>2.2999999999999998</v>
      </c>
      <c r="M20" s="43">
        <v>2.2999999999999998</v>
      </c>
      <c r="N20" s="44">
        <v>2.2999999999999998</v>
      </c>
      <c r="O20" s="42">
        <v>2.2999999999999998</v>
      </c>
      <c r="P20" s="43">
        <v>2.2999999999999998</v>
      </c>
      <c r="Q20" s="43">
        <v>2.4</v>
      </c>
      <c r="R20" s="44">
        <v>2.2999999999999998</v>
      </c>
      <c r="S20" s="42">
        <v>2.2999999999999998</v>
      </c>
      <c r="T20" s="43">
        <v>2.2999999999999998</v>
      </c>
      <c r="U20" s="43">
        <v>2.2999999999999998</v>
      </c>
      <c r="V20" s="44">
        <v>2.2999999999999998</v>
      </c>
      <c r="W20" s="43">
        <v>2.2999999999999998</v>
      </c>
      <c r="X20" s="43">
        <v>2.2999999999999998</v>
      </c>
    </row>
    <row r="21" spans="1:25" x14ac:dyDescent="0.2">
      <c r="A21" s="5" t="s">
        <v>450</v>
      </c>
      <c r="B21" s="5" t="s">
        <v>205</v>
      </c>
      <c r="C21" s="42">
        <v>480.2</v>
      </c>
      <c r="D21" s="43">
        <v>530.20000000000005</v>
      </c>
      <c r="E21" s="43">
        <v>530.20000000000005</v>
      </c>
      <c r="F21" s="43">
        <v>530.20000000000005</v>
      </c>
      <c r="G21" s="42">
        <v>530.20000000000005</v>
      </c>
      <c r="H21" s="43">
        <v>730.2</v>
      </c>
      <c r="I21" s="43">
        <v>730.2</v>
      </c>
      <c r="J21" s="44">
        <v>730.2</v>
      </c>
      <c r="K21" s="42">
        <v>730.2</v>
      </c>
      <c r="L21" s="43">
        <v>790.2</v>
      </c>
      <c r="M21" s="43">
        <v>790.2</v>
      </c>
      <c r="N21" s="44">
        <v>790.2</v>
      </c>
      <c r="O21" s="42">
        <v>790.2</v>
      </c>
      <c r="P21" s="43">
        <v>850.2</v>
      </c>
      <c r="Q21" s="43">
        <v>850.2</v>
      </c>
      <c r="R21" s="44">
        <v>850.2</v>
      </c>
      <c r="S21" s="42">
        <v>850.2</v>
      </c>
      <c r="T21" s="43">
        <v>910.2</v>
      </c>
      <c r="U21" s="43">
        <v>910.2</v>
      </c>
      <c r="V21" s="44">
        <v>910.1</v>
      </c>
      <c r="W21" s="43">
        <v>910.1</v>
      </c>
      <c r="X21" s="43">
        <v>960.2</v>
      </c>
    </row>
    <row r="22" spans="1:25" x14ac:dyDescent="0.2">
      <c r="A22" s="5" t="s">
        <v>451</v>
      </c>
      <c r="B22" s="5" t="s">
        <v>206</v>
      </c>
      <c r="C22" s="42">
        <v>76.2</v>
      </c>
      <c r="D22" s="43">
        <v>-11.4</v>
      </c>
      <c r="E22" s="43">
        <v>-12.5</v>
      </c>
      <c r="F22" s="43">
        <v>-91.6</v>
      </c>
      <c r="G22" s="42">
        <v>-199.1</v>
      </c>
      <c r="H22" s="43">
        <v>-239.6</v>
      </c>
      <c r="I22" s="43">
        <v>-130</v>
      </c>
      <c r="J22" s="44">
        <v>-101</v>
      </c>
      <c r="K22" s="42">
        <v>-121.4</v>
      </c>
      <c r="L22" s="43">
        <v>-61.5</v>
      </c>
      <c r="M22" s="43">
        <v>-37.799999999999997</v>
      </c>
      <c r="N22" s="44">
        <v>-2.4</v>
      </c>
      <c r="O22" s="42">
        <v>2.7</v>
      </c>
      <c r="P22" s="43">
        <v>-3.9</v>
      </c>
      <c r="Q22" s="43">
        <v>31.7</v>
      </c>
      <c r="R22" s="44">
        <v>8.1</v>
      </c>
      <c r="S22" s="42">
        <v>-46.2</v>
      </c>
      <c r="T22" s="43">
        <v>44.6</v>
      </c>
      <c r="U22" s="43">
        <v>5.5</v>
      </c>
      <c r="V22" s="44">
        <v>17.3</v>
      </c>
      <c r="W22" s="43">
        <v>98.7</v>
      </c>
      <c r="X22" s="43">
        <v>121.8</v>
      </c>
    </row>
    <row r="23" spans="1:25" x14ac:dyDescent="0.2">
      <c r="A23" s="5" t="s">
        <v>452</v>
      </c>
      <c r="B23" s="5" t="s">
        <v>207</v>
      </c>
      <c r="C23" s="42">
        <v>-325.7</v>
      </c>
      <c r="D23" s="43">
        <v>-319.3</v>
      </c>
      <c r="E23" s="43">
        <v>-319</v>
      </c>
      <c r="F23" s="43">
        <v>-318.8</v>
      </c>
      <c r="G23" s="42">
        <v>-315.8</v>
      </c>
      <c r="H23" s="43">
        <v>-311</v>
      </c>
      <c r="I23" s="43">
        <v>-309.5</v>
      </c>
      <c r="J23" s="44">
        <v>-316.2</v>
      </c>
      <c r="K23" s="42">
        <v>-313.5</v>
      </c>
      <c r="L23" s="43">
        <v>-317.8</v>
      </c>
      <c r="M23" s="43">
        <v>-316.39999999999998</v>
      </c>
      <c r="N23" s="44">
        <v>-327.3</v>
      </c>
      <c r="O23" s="42">
        <v>-322.89999999999998</v>
      </c>
      <c r="P23" s="43">
        <v>-325.89999999999998</v>
      </c>
      <c r="Q23" s="43">
        <v>-325.8</v>
      </c>
      <c r="R23" s="44">
        <v>-342.2</v>
      </c>
      <c r="S23" s="42">
        <v>-342</v>
      </c>
      <c r="T23" s="43">
        <v>-357.8</v>
      </c>
      <c r="U23" s="43">
        <v>-355.6</v>
      </c>
      <c r="V23" s="44">
        <v>-362</v>
      </c>
      <c r="W23" s="43">
        <v>-360.4</v>
      </c>
      <c r="X23" s="43">
        <v>-358.8</v>
      </c>
    </row>
    <row r="24" spans="1:25" x14ac:dyDescent="0.2">
      <c r="A24" s="5" t="s">
        <v>453</v>
      </c>
      <c r="B24" s="5" t="s">
        <v>218</v>
      </c>
      <c r="C24" s="42">
        <v>0</v>
      </c>
      <c r="D24" s="43">
        <v>0</v>
      </c>
      <c r="E24" s="43">
        <v>0</v>
      </c>
      <c r="F24" s="43">
        <v>0</v>
      </c>
      <c r="G24" s="42">
        <v>-40</v>
      </c>
      <c r="H24" s="43">
        <v>-40</v>
      </c>
      <c r="I24" s="43">
        <v>-40</v>
      </c>
      <c r="J24" s="44">
        <v>-40</v>
      </c>
      <c r="K24" s="42">
        <v>-40</v>
      </c>
      <c r="L24" s="43">
        <v>-40</v>
      </c>
      <c r="M24" s="43">
        <v>-40</v>
      </c>
      <c r="N24" s="44">
        <v>-40</v>
      </c>
      <c r="O24" s="42">
        <v>-40</v>
      </c>
      <c r="P24" s="43">
        <v>-40</v>
      </c>
      <c r="Q24" s="43">
        <v>-40</v>
      </c>
      <c r="R24" s="44">
        <v>-40</v>
      </c>
      <c r="S24" s="42">
        <v>-40</v>
      </c>
      <c r="T24" s="43">
        <v>-40</v>
      </c>
      <c r="U24" s="43">
        <v>-40</v>
      </c>
      <c r="V24" s="44">
        <v>-40</v>
      </c>
      <c r="W24" s="43">
        <v>-40</v>
      </c>
      <c r="X24" s="43">
        <v>-40</v>
      </c>
    </row>
    <row r="25" spans="1:25" x14ac:dyDescent="0.2">
      <c r="A25" s="5" t="s">
        <v>454</v>
      </c>
      <c r="B25" s="5" t="s">
        <v>208</v>
      </c>
      <c r="C25" s="42">
        <v>38.1</v>
      </c>
      <c r="D25" s="43">
        <v>9</v>
      </c>
      <c r="E25" s="43">
        <v>141.19999999999999</v>
      </c>
      <c r="F25" s="43">
        <v>91.8</v>
      </c>
      <c r="G25" s="42">
        <v>30.7</v>
      </c>
      <c r="H25" s="43">
        <v>58.4</v>
      </c>
      <c r="I25" s="43">
        <v>89.9</v>
      </c>
      <c r="J25" s="44">
        <v>79.7</v>
      </c>
      <c r="K25" s="42">
        <v>0</v>
      </c>
      <c r="L25" s="43">
        <v>63.5</v>
      </c>
      <c r="M25" s="43">
        <v>54.8</v>
      </c>
      <c r="N25" s="44">
        <v>65.5</v>
      </c>
      <c r="O25" s="42">
        <v>55.4</v>
      </c>
      <c r="P25" s="43">
        <v>38.9</v>
      </c>
      <c r="Q25" s="43">
        <v>32.200000000000003</v>
      </c>
      <c r="R25" s="44">
        <v>26.5</v>
      </c>
      <c r="S25" s="42">
        <v>62.1</v>
      </c>
      <c r="T25" s="43">
        <v>59.8</v>
      </c>
      <c r="U25" s="43">
        <v>40.4</v>
      </c>
      <c r="V25" s="44">
        <v>32.700000000000003</v>
      </c>
      <c r="W25" s="43">
        <v>41.6</v>
      </c>
      <c r="X25" s="43">
        <v>42.1</v>
      </c>
    </row>
    <row r="26" spans="1:25" x14ac:dyDescent="0.2">
      <c r="A26" s="5" t="s">
        <v>456</v>
      </c>
      <c r="B26" s="5" t="s">
        <v>219</v>
      </c>
      <c r="C26" s="42">
        <v>0</v>
      </c>
      <c r="D26" s="43">
        <v>0</v>
      </c>
      <c r="E26" s="43">
        <v>0</v>
      </c>
      <c r="F26" s="43">
        <v>0</v>
      </c>
      <c r="G26" s="42">
        <v>0</v>
      </c>
      <c r="H26" s="43">
        <v>0</v>
      </c>
      <c r="I26" s="43">
        <v>0</v>
      </c>
      <c r="J26" s="44">
        <v>0</v>
      </c>
      <c r="K26" s="42">
        <v>0</v>
      </c>
      <c r="L26" s="43">
        <v>0</v>
      </c>
      <c r="M26" s="43">
        <v>0</v>
      </c>
      <c r="N26" s="44">
        <v>0</v>
      </c>
      <c r="O26" s="42">
        <v>0</v>
      </c>
      <c r="P26" s="43">
        <v>0</v>
      </c>
      <c r="Q26" s="43">
        <v>0</v>
      </c>
      <c r="R26" s="44">
        <v>0</v>
      </c>
      <c r="S26" s="42">
        <v>0</v>
      </c>
      <c r="T26" s="43">
        <v>0</v>
      </c>
      <c r="U26" s="43">
        <v>0</v>
      </c>
      <c r="V26" s="44">
        <v>-154.69999999999999</v>
      </c>
      <c r="W26" s="43">
        <v>-155.4</v>
      </c>
      <c r="X26" s="43">
        <v>-141.4</v>
      </c>
    </row>
    <row r="27" spans="1:25" s="352" customFormat="1" ht="12" x14ac:dyDescent="0.2">
      <c r="A27" s="11" t="s">
        <v>455</v>
      </c>
      <c r="B27" s="11" t="s">
        <v>209</v>
      </c>
      <c r="C27" s="345">
        <f t="shared" ref="C27:W27" si="0">SUM(C14:C26)</f>
        <v>2883.7999999999997</v>
      </c>
      <c r="D27" s="346">
        <f t="shared" si="0"/>
        <v>3005.4</v>
      </c>
      <c r="E27" s="346">
        <f t="shared" si="0"/>
        <v>3111.0999999999995</v>
      </c>
      <c r="F27" s="346">
        <f t="shared" si="0"/>
        <v>2982.7999999999997</v>
      </c>
      <c r="G27" s="345">
        <f t="shared" si="0"/>
        <v>3255.2999999999997</v>
      </c>
      <c r="H27" s="346">
        <f t="shared" si="0"/>
        <v>3248.0999999999995</v>
      </c>
      <c r="I27" s="346">
        <f t="shared" si="0"/>
        <v>3798.4</v>
      </c>
      <c r="J27" s="347">
        <f t="shared" si="0"/>
        <v>3811.6000000000004</v>
      </c>
      <c r="K27" s="345">
        <f t="shared" si="0"/>
        <v>3752.1000000000004</v>
      </c>
      <c r="L27" s="346">
        <f t="shared" si="0"/>
        <v>3885.3999999999996</v>
      </c>
      <c r="M27" s="346">
        <f t="shared" si="0"/>
        <v>4166.1000000000004</v>
      </c>
      <c r="N27" s="347">
        <f t="shared" si="0"/>
        <v>4186.4000000000005</v>
      </c>
      <c r="O27" s="345">
        <f t="shared" si="0"/>
        <v>4517.6000000000004</v>
      </c>
      <c r="P27" s="346">
        <f t="shared" si="0"/>
        <v>4491.5</v>
      </c>
      <c r="Q27" s="346">
        <f t="shared" si="0"/>
        <v>4889.6999999999989</v>
      </c>
      <c r="R27" s="347">
        <f t="shared" si="0"/>
        <v>4843.9000000000005</v>
      </c>
      <c r="S27" s="345">
        <f t="shared" si="0"/>
        <v>5016.4000000000005</v>
      </c>
      <c r="T27" s="346">
        <f t="shared" si="0"/>
        <v>5089.9000000000005</v>
      </c>
      <c r="U27" s="346">
        <f t="shared" si="0"/>
        <v>5481.0999999999985</v>
      </c>
      <c r="V27" s="347">
        <f t="shared" si="0"/>
        <v>5326.5</v>
      </c>
      <c r="W27" s="346">
        <f t="shared" si="0"/>
        <v>5845.7000000000016</v>
      </c>
      <c r="X27" s="346">
        <f t="shared" ref="X27" si="1">SUM(X14:X26)</f>
        <v>6157.5000000000009</v>
      </c>
      <c r="Y27" s="351"/>
    </row>
    <row r="28" spans="1:25" x14ac:dyDescent="0.2">
      <c r="A28" s="5"/>
      <c r="B28" s="5"/>
      <c r="C28" s="42"/>
      <c r="D28" s="43"/>
      <c r="E28" s="43"/>
      <c r="F28" s="43"/>
      <c r="G28" s="42"/>
      <c r="H28" s="43"/>
      <c r="I28" s="43"/>
      <c r="J28" s="44"/>
      <c r="K28" s="42"/>
      <c r="L28" s="43"/>
      <c r="M28" s="43"/>
      <c r="N28" s="44"/>
      <c r="O28" s="42"/>
      <c r="P28" s="43"/>
      <c r="Q28" s="43"/>
      <c r="R28" s="44"/>
      <c r="S28" s="42"/>
      <c r="T28" s="43"/>
      <c r="U28" s="43"/>
      <c r="V28" s="44"/>
      <c r="W28" s="43"/>
      <c r="X28" s="43"/>
    </row>
    <row r="29" spans="1:25" x14ac:dyDescent="0.2">
      <c r="A29" s="12" t="s">
        <v>458</v>
      </c>
      <c r="B29" s="12" t="s">
        <v>210</v>
      </c>
      <c r="C29" s="42"/>
      <c r="D29" s="43"/>
      <c r="E29" s="43"/>
      <c r="F29" s="43"/>
      <c r="G29" s="42"/>
      <c r="H29" s="43"/>
      <c r="I29" s="43"/>
      <c r="J29" s="44"/>
      <c r="K29" s="42"/>
      <c r="L29" s="43"/>
      <c r="M29" s="43"/>
      <c r="N29" s="44"/>
      <c r="O29" s="42"/>
      <c r="P29" s="43"/>
      <c r="Q29" s="43"/>
      <c r="R29" s="44"/>
      <c r="S29" s="42"/>
      <c r="T29" s="43"/>
      <c r="U29" s="43"/>
      <c r="V29" s="44"/>
      <c r="W29" s="43"/>
      <c r="X29" s="43"/>
    </row>
    <row r="30" spans="1:25" ht="24" x14ac:dyDescent="0.2">
      <c r="A30" s="5" t="s">
        <v>459</v>
      </c>
      <c r="B30" s="5" t="s">
        <v>211</v>
      </c>
      <c r="C30" s="141" t="s">
        <v>558</v>
      </c>
      <c r="D30" s="142" t="s">
        <v>558</v>
      </c>
      <c r="E30" s="142" t="s">
        <v>558</v>
      </c>
      <c r="F30" s="142" t="s">
        <v>558</v>
      </c>
      <c r="G30" s="42">
        <v>2057.4</v>
      </c>
      <c r="H30" s="43">
        <v>1983.4</v>
      </c>
      <c r="I30" s="43">
        <v>2188.3000000000002</v>
      </c>
      <c r="J30" s="44">
        <v>2580.3000000000002</v>
      </c>
      <c r="K30" s="42">
        <v>2619.3000000000002</v>
      </c>
      <c r="L30" s="43">
        <v>2503.4</v>
      </c>
      <c r="M30" s="43">
        <v>2416</v>
      </c>
      <c r="N30" s="44">
        <v>2432</v>
      </c>
      <c r="O30" s="42">
        <v>2398.1</v>
      </c>
      <c r="P30" s="43">
        <v>2496</v>
      </c>
      <c r="Q30" s="43">
        <v>2581.6</v>
      </c>
      <c r="R30" s="44">
        <v>2581.6</v>
      </c>
      <c r="S30" s="42">
        <v>2725.1</v>
      </c>
      <c r="T30" s="43">
        <v>2806.1</v>
      </c>
      <c r="U30" s="43">
        <v>3056.2</v>
      </c>
      <c r="V30" s="44">
        <v>3176.6</v>
      </c>
      <c r="W30" s="43">
        <v>3414.8</v>
      </c>
      <c r="X30" s="43">
        <v>3345.7000000000003</v>
      </c>
    </row>
    <row r="31" spans="1:25" s="170" customFormat="1" ht="24" x14ac:dyDescent="0.2">
      <c r="A31" s="169" t="s">
        <v>700</v>
      </c>
      <c r="B31" s="169" t="s">
        <v>609</v>
      </c>
      <c r="C31" s="141" t="s">
        <v>558</v>
      </c>
      <c r="D31" s="142" t="s">
        <v>558</v>
      </c>
      <c r="E31" s="142" t="s">
        <v>558</v>
      </c>
      <c r="F31" s="142" t="s">
        <v>558</v>
      </c>
      <c r="G31" s="141" t="s">
        <v>558</v>
      </c>
      <c r="H31" s="142" t="s">
        <v>558</v>
      </c>
      <c r="I31" s="142" t="s">
        <v>558</v>
      </c>
      <c r="J31" s="142" t="s">
        <v>558</v>
      </c>
      <c r="K31" s="141" t="s">
        <v>558</v>
      </c>
      <c r="L31" s="142" t="s">
        <v>558</v>
      </c>
      <c r="M31" s="142" t="s">
        <v>558</v>
      </c>
      <c r="N31" s="142" t="s">
        <v>558</v>
      </c>
      <c r="O31" s="141" t="s">
        <v>558</v>
      </c>
      <c r="P31" s="142" t="s">
        <v>558</v>
      </c>
      <c r="Q31" s="142" t="s">
        <v>558</v>
      </c>
      <c r="R31" s="142" t="s">
        <v>558</v>
      </c>
      <c r="S31" s="141" t="s">
        <v>558</v>
      </c>
      <c r="T31" s="142" t="s">
        <v>558</v>
      </c>
      <c r="U31" s="142" t="s">
        <v>558</v>
      </c>
      <c r="V31" s="62">
        <v>329</v>
      </c>
      <c r="W31" s="61">
        <v>285.2</v>
      </c>
      <c r="X31" s="61">
        <v>140.80000000000001</v>
      </c>
      <c r="Y31" s="167"/>
    </row>
    <row r="32" spans="1:25" x14ac:dyDescent="0.2">
      <c r="A32" s="5" t="s">
        <v>460</v>
      </c>
      <c r="B32" s="5" t="s">
        <v>212</v>
      </c>
      <c r="C32" s="141" t="s">
        <v>558</v>
      </c>
      <c r="D32" s="142" t="s">
        <v>558</v>
      </c>
      <c r="E32" s="142" t="s">
        <v>558</v>
      </c>
      <c r="F32" s="142" t="s">
        <v>558</v>
      </c>
      <c r="G32" s="42">
        <v>0</v>
      </c>
      <c r="H32" s="43">
        <v>0</v>
      </c>
      <c r="I32" s="43">
        <v>0.1</v>
      </c>
      <c r="J32" s="44">
        <v>1.3</v>
      </c>
      <c r="K32" s="42">
        <v>1.7</v>
      </c>
      <c r="L32" s="43">
        <v>2.2000000000000002</v>
      </c>
      <c r="M32" s="43">
        <v>2.2000000000000002</v>
      </c>
      <c r="N32" s="44">
        <v>2.2000000000000002</v>
      </c>
      <c r="O32" s="42">
        <v>2.2000000000000002</v>
      </c>
      <c r="P32" s="43">
        <v>4.0999999999999996</v>
      </c>
      <c r="Q32" s="43">
        <v>4.5999999999999996</v>
      </c>
      <c r="R32" s="44">
        <v>5.0999999999999996</v>
      </c>
      <c r="S32" s="42">
        <v>5.6</v>
      </c>
      <c r="T32" s="43">
        <v>6.3</v>
      </c>
      <c r="U32" s="43">
        <v>7.1</v>
      </c>
      <c r="V32" s="44">
        <v>7.9</v>
      </c>
      <c r="W32" s="43">
        <v>8.6999999999999993</v>
      </c>
      <c r="X32" s="43">
        <v>9.4</v>
      </c>
    </row>
    <row r="33" spans="1:25" ht="24" x14ac:dyDescent="0.2">
      <c r="A33" s="5" t="s">
        <v>461</v>
      </c>
      <c r="B33" s="5" t="s">
        <v>213</v>
      </c>
      <c r="C33" s="141" t="s">
        <v>558</v>
      </c>
      <c r="D33" s="142" t="s">
        <v>558</v>
      </c>
      <c r="E33" s="142" t="s">
        <v>558</v>
      </c>
      <c r="F33" s="142" t="s">
        <v>558</v>
      </c>
      <c r="G33" s="42">
        <v>13.5</v>
      </c>
      <c r="H33" s="43">
        <v>22.8</v>
      </c>
      <c r="I33" s="43">
        <v>31.6</v>
      </c>
      <c r="J33" s="44">
        <v>27.7</v>
      </c>
      <c r="K33" s="42">
        <v>26.1</v>
      </c>
      <c r="L33" s="43">
        <v>19.3</v>
      </c>
      <c r="M33" s="43">
        <v>13.7</v>
      </c>
      <c r="N33" s="44">
        <v>15.3</v>
      </c>
      <c r="O33" s="42">
        <v>8.6999999999999993</v>
      </c>
      <c r="P33" s="43">
        <v>8.6999999999999993</v>
      </c>
      <c r="Q33" s="43">
        <v>0.4</v>
      </c>
      <c r="R33" s="44">
        <v>1.8</v>
      </c>
      <c r="S33" s="42">
        <v>18</v>
      </c>
      <c r="T33" s="43">
        <v>22.2</v>
      </c>
      <c r="U33" s="43">
        <v>0.2</v>
      </c>
      <c r="V33" s="44">
        <v>0</v>
      </c>
      <c r="W33" s="43">
        <v>0</v>
      </c>
      <c r="X33" s="43">
        <v>11</v>
      </c>
    </row>
    <row r="34" spans="1:25" x14ac:dyDescent="0.2">
      <c r="A34" s="5" t="s">
        <v>462</v>
      </c>
      <c r="B34" s="5" t="s">
        <v>220</v>
      </c>
      <c r="C34" s="141" t="s">
        <v>558</v>
      </c>
      <c r="D34" s="142" t="s">
        <v>558</v>
      </c>
      <c r="E34" s="142" t="s">
        <v>558</v>
      </c>
      <c r="F34" s="142" t="s">
        <v>558</v>
      </c>
      <c r="G34" s="42">
        <v>274.2</v>
      </c>
      <c r="H34" s="43">
        <v>274.2</v>
      </c>
      <c r="I34" s="43">
        <v>274.2</v>
      </c>
      <c r="J34" s="44">
        <v>274.2</v>
      </c>
      <c r="K34" s="42">
        <v>290.8</v>
      </c>
      <c r="L34" s="43">
        <v>290.8</v>
      </c>
      <c r="M34" s="43">
        <v>290.8</v>
      </c>
      <c r="N34" s="44">
        <v>290.8</v>
      </c>
      <c r="O34" s="42">
        <v>326.89999999999998</v>
      </c>
      <c r="P34" s="43">
        <v>326.89999999999998</v>
      </c>
      <c r="Q34" s="43">
        <v>326.89999999999998</v>
      </c>
      <c r="R34" s="44">
        <v>326.89999999999998</v>
      </c>
      <c r="S34" s="42">
        <v>361.7</v>
      </c>
      <c r="T34" s="43">
        <v>361.7</v>
      </c>
      <c r="U34" s="43">
        <v>361.7</v>
      </c>
      <c r="V34" s="44">
        <v>364.6</v>
      </c>
      <c r="W34" s="43">
        <v>405.9</v>
      </c>
      <c r="X34" s="43">
        <v>405.9</v>
      </c>
    </row>
    <row r="35" spans="1:25" x14ac:dyDescent="0.2">
      <c r="A35" s="5" t="s">
        <v>463</v>
      </c>
      <c r="B35" s="5" t="s">
        <v>214</v>
      </c>
      <c r="C35" s="141" t="s">
        <v>558</v>
      </c>
      <c r="D35" s="142" t="s">
        <v>558</v>
      </c>
      <c r="E35" s="142" t="s">
        <v>558</v>
      </c>
      <c r="F35" s="142" t="s">
        <v>558</v>
      </c>
      <c r="G35" s="42">
        <v>17.2</v>
      </c>
      <c r="H35" s="43">
        <v>35.6</v>
      </c>
      <c r="I35" s="43">
        <v>58.3</v>
      </c>
      <c r="J35" s="44">
        <v>52</v>
      </c>
      <c r="K35" s="42">
        <v>33.9</v>
      </c>
      <c r="L35" s="43">
        <v>44.3</v>
      </c>
      <c r="M35" s="43">
        <v>39</v>
      </c>
      <c r="N35" s="44">
        <v>48</v>
      </c>
      <c r="O35" s="42">
        <v>44.5</v>
      </c>
      <c r="P35" s="43">
        <v>26.1</v>
      </c>
      <c r="Q35" s="43">
        <v>27.2</v>
      </c>
      <c r="R35" s="44">
        <v>19.7</v>
      </c>
      <c r="S35" s="42">
        <v>38.4</v>
      </c>
      <c r="T35" s="43">
        <v>31.3</v>
      </c>
      <c r="U35" s="43">
        <v>33.200000000000003</v>
      </c>
      <c r="V35" s="44">
        <v>24.8</v>
      </c>
      <c r="W35" s="43">
        <v>32.9</v>
      </c>
      <c r="X35" s="43">
        <v>21.7</v>
      </c>
    </row>
    <row r="36" spans="1:25" x14ac:dyDescent="0.2">
      <c r="A36" s="5" t="s">
        <v>464</v>
      </c>
      <c r="B36" s="5" t="s">
        <v>215</v>
      </c>
      <c r="C36" s="141" t="s">
        <v>558</v>
      </c>
      <c r="D36" s="142" t="s">
        <v>558</v>
      </c>
      <c r="E36" s="142" t="s">
        <v>558</v>
      </c>
      <c r="F36" s="142" t="s">
        <v>558</v>
      </c>
      <c r="G36" s="42">
        <v>0</v>
      </c>
      <c r="H36" s="43">
        <v>0</v>
      </c>
      <c r="I36" s="43">
        <v>0</v>
      </c>
      <c r="J36" s="44">
        <v>0</v>
      </c>
      <c r="K36" s="42">
        <v>0</v>
      </c>
      <c r="L36" s="43">
        <v>0</v>
      </c>
      <c r="M36" s="43">
        <v>0</v>
      </c>
      <c r="N36" s="44">
        <v>0</v>
      </c>
      <c r="O36" s="42">
        <v>0</v>
      </c>
      <c r="P36" s="43">
        <v>0</v>
      </c>
      <c r="Q36" s="43">
        <v>0</v>
      </c>
      <c r="R36" s="44">
        <v>12</v>
      </c>
      <c r="S36" s="42">
        <v>1.2</v>
      </c>
      <c r="T36" s="43">
        <v>0.9</v>
      </c>
      <c r="U36" s="43">
        <v>33.4</v>
      </c>
      <c r="V36" s="44">
        <v>0</v>
      </c>
      <c r="W36" s="43">
        <v>0</v>
      </c>
      <c r="X36" s="43">
        <v>0</v>
      </c>
    </row>
    <row r="37" spans="1:25" x14ac:dyDescent="0.2">
      <c r="A37" s="171" t="s">
        <v>465</v>
      </c>
      <c r="B37" s="171" t="s">
        <v>216</v>
      </c>
      <c r="C37" s="49">
        <v>1678.5</v>
      </c>
      <c r="D37" s="50">
        <v>1792.3</v>
      </c>
      <c r="E37" s="50">
        <v>1907</v>
      </c>
      <c r="F37" s="50">
        <v>1819.4</v>
      </c>
      <c r="G37" s="49">
        <f t="shared" ref="G37:U37" si="2">SUM(G30:G36)</f>
        <v>2362.2999999999997</v>
      </c>
      <c r="H37" s="50">
        <f t="shared" si="2"/>
        <v>2316</v>
      </c>
      <c r="I37" s="50">
        <f t="shared" si="2"/>
        <v>2552.5</v>
      </c>
      <c r="J37" s="51">
        <f t="shared" si="2"/>
        <v>2935.5</v>
      </c>
      <c r="K37" s="49">
        <f t="shared" si="2"/>
        <v>2971.8</v>
      </c>
      <c r="L37" s="50">
        <f t="shared" si="2"/>
        <v>2860.0000000000005</v>
      </c>
      <c r="M37" s="50">
        <f t="shared" si="2"/>
        <v>2761.7</v>
      </c>
      <c r="N37" s="51">
        <f t="shared" si="2"/>
        <v>2788.3</v>
      </c>
      <c r="O37" s="49">
        <f t="shared" si="2"/>
        <v>2780.3999999999996</v>
      </c>
      <c r="P37" s="50">
        <f t="shared" si="2"/>
        <v>2861.7999999999997</v>
      </c>
      <c r="Q37" s="50">
        <f t="shared" si="2"/>
        <v>2940.7</v>
      </c>
      <c r="R37" s="51">
        <f t="shared" si="2"/>
        <v>2947.1</v>
      </c>
      <c r="S37" s="49">
        <f t="shared" si="2"/>
        <v>3149.9999999999995</v>
      </c>
      <c r="T37" s="50">
        <f t="shared" si="2"/>
        <v>3228.5</v>
      </c>
      <c r="U37" s="50">
        <f t="shared" si="2"/>
        <v>3491.7999999999993</v>
      </c>
      <c r="V37" s="51">
        <f>SUM(V30,V32:V36)</f>
        <v>3573.9</v>
      </c>
      <c r="W37" s="50">
        <f>SUM(W30,W32:W36)</f>
        <v>3862.3</v>
      </c>
      <c r="X37" s="50">
        <f>SUM(X30,X32:X36)</f>
        <v>3793.7000000000003</v>
      </c>
    </row>
    <row r="38" spans="1:25" x14ac:dyDescent="0.2">
      <c r="A38" s="5"/>
      <c r="B38" s="5"/>
      <c r="C38" s="42"/>
      <c r="D38" s="43"/>
      <c r="E38" s="43"/>
      <c r="F38" s="43"/>
      <c r="G38" s="42"/>
      <c r="H38" s="43"/>
      <c r="I38" s="43"/>
      <c r="J38" s="44"/>
      <c r="K38" s="42"/>
      <c r="L38" s="43"/>
      <c r="M38" s="43"/>
      <c r="N38" s="44"/>
      <c r="O38" s="42"/>
      <c r="P38" s="43"/>
      <c r="Q38" s="43"/>
      <c r="R38" s="44"/>
      <c r="S38" s="42"/>
      <c r="T38" s="43"/>
      <c r="U38" s="43"/>
      <c r="V38" s="44"/>
      <c r="W38" s="43"/>
      <c r="X38" s="43"/>
    </row>
    <row r="39" spans="1:25" s="177" customFormat="1" ht="22.9" customHeight="1" x14ac:dyDescent="0.2">
      <c r="A39" s="172" t="s">
        <v>442</v>
      </c>
      <c r="B39" s="172" t="s">
        <v>197</v>
      </c>
      <c r="C39" s="173">
        <f>ROUND((C27/(C37*12.5)),4)</f>
        <v>0.13739999999999999</v>
      </c>
      <c r="D39" s="174">
        <f t="shared" ref="D39:X39" si="3">ROUND((D27/(D37*12.5)),4)</f>
        <v>0.1341</v>
      </c>
      <c r="E39" s="174">
        <f t="shared" si="3"/>
        <v>0.1305</v>
      </c>
      <c r="F39" s="174">
        <f t="shared" si="3"/>
        <v>0.13120000000000001</v>
      </c>
      <c r="G39" s="173">
        <f t="shared" si="3"/>
        <v>0.11020000000000001</v>
      </c>
      <c r="H39" s="174">
        <f t="shared" si="3"/>
        <v>0.11219999999999999</v>
      </c>
      <c r="I39" s="174">
        <f t="shared" si="3"/>
        <v>0.11899999999999999</v>
      </c>
      <c r="J39" s="175">
        <f t="shared" si="3"/>
        <v>0.10390000000000001</v>
      </c>
      <c r="K39" s="173">
        <f t="shared" si="3"/>
        <v>0.10100000000000001</v>
      </c>
      <c r="L39" s="174">
        <f t="shared" si="3"/>
        <v>0.1087</v>
      </c>
      <c r="M39" s="174">
        <f t="shared" si="3"/>
        <v>0.1207</v>
      </c>
      <c r="N39" s="175">
        <f t="shared" si="3"/>
        <v>0.1201</v>
      </c>
      <c r="O39" s="173">
        <f t="shared" si="3"/>
        <v>0.13</v>
      </c>
      <c r="P39" s="174">
        <f t="shared" si="3"/>
        <v>0.12559999999999999</v>
      </c>
      <c r="Q39" s="174">
        <f t="shared" si="3"/>
        <v>0.13300000000000001</v>
      </c>
      <c r="R39" s="175">
        <f t="shared" si="3"/>
        <v>0.13150000000000001</v>
      </c>
      <c r="S39" s="173">
        <f t="shared" si="3"/>
        <v>0.12740000000000001</v>
      </c>
      <c r="T39" s="174">
        <f t="shared" si="3"/>
        <v>0.12609999999999999</v>
      </c>
      <c r="U39" s="174">
        <f t="shared" si="3"/>
        <v>0.12559999999999999</v>
      </c>
      <c r="V39" s="175">
        <f t="shared" si="3"/>
        <v>0.1192</v>
      </c>
      <c r="W39" s="174">
        <f t="shared" si="3"/>
        <v>0.1211</v>
      </c>
      <c r="X39" s="174">
        <f t="shared" si="3"/>
        <v>0.1298</v>
      </c>
      <c r="Y39" s="176"/>
    </row>
    <row r="42" spans="1:25" ht="19.149999999999999" customHeight="1" x14ac:dyDescent="0.2">
      <c r="A42" s="36" t="s">
        <v>732</v>
      </c>
      <c r="B42" s="35" t="s">
        <v>731</v>
      </c>
      <c r="C42" s="37" t="s">
        <v>523</v>
      </c>
      <c r="D42" s="38" t="s">
        <v>524</v>
      </c>
      <c r="E42" s="38" t="s">
        <v>525</v>
      </c>
      <c r="F42" s="38" t="s">
        <v>526</v>
      </c>
      <c r="G42" s="37" t="s">
        <v>527</v>
      </c>
      <c r="H42" s="38" t="s">
        <v>528</v>
      </c>
      <c r="I42" s="38" t="s">
        <v>529</v>
      </c>
      <c r="J42" s="39" t="s">
        <v>530</v>
      </c>
      <c r="K42" s="37" t="s">
        <v>531</v>
      </c>
      <c r="L42" s="38" t="s">
        <v>532</v>
      </c>
      <c r="M42" s="38" t="s">
        <v>533</v>
      </c>
      <c r="N42" s="39" t="s">
        <v>534</v>
      </c>
      <c r="O42" s="37" t="s">
        <v>535</v>
      </c>
      <c r="P42" s="38" t="s">
        <v>536</v>
      </c>
      <c r="Q42" s="38" t="s">
        <v>537</v>
      </c>
      <c r="R42" s="39" t="s">
        <v>538</v>
      </c>
      <c r="S42" s="37" t="s">
        <v>539</v>
      </c>
      <c r="T42" s="38" t="s">
        <v>540</v>
      </c>
      <c r="U42" s="38" t="s">
        <v>541</v>
      </c>
      <c r="V42" s="39" t="s">
        <v>542</v>
      </c>
      <c r="W42" s="38" t="s">
        <v>543</v>
      </c>
      <c r="X42" s="38" t="s">
        <v>543</v>
      </c>
    </row>
    <row r="43" spans="1:25" x14ac:dyDescent="0.2">
      <c r="A43" s="21" t="s">
        <v>258</v>
      </c>
      <c r="B43" s="21" t="s">
        <v>15</v>
      </c>
      <c r="C43" s="17"/>
      <c r="D43" s="7"/>
      <c r="E43" s="6"/>
      <c r="F43" s="7"/>
      <c r="G43" s="17"/>
      <c r="H43" s="7"/>
      <c r="I43" s="6"/>
      <c r="J43" s="18"/>
      <c r="K43" s="17"/>
      <c r="L43" s="7"/>
      <c r="M43" s="6"/>
      <c r="N43" s="18"/>
      <c r="O43" s="17"/>
      <c r="P43" s="7"/>
      <c r="Q43" s="6"/>
      <c r="R43" s="18"/>
      <c r="S43" s="17"/>
      <c r="T43" s="7"/>
      <c r="U43" s="6"/>
      <c r="V43" s="18"/>
      <c r="W43" s="6"/>
      <c r="X43" s="6"/>
    </row>
    <row r="44" spans="1:25" s="370" customFormat="1" ht="14.25" x14ac:dyDescent="0.2">
      <c r="A44" s="365" t="s">
        <v>733</v>
      </c>
      <c r="B44" s="365" t="s">
        <v>610</v>
      </c>
      <c r="C44" s="366"/>
      <c r="D44" s="367"/>
      <c r="E44" s="367"/>
      <c r="F44" s="368"/>
      <c r="G44" s="366"/>
      <c r="H44" s="367"/>
      <c r="I44" s="367"/>
      <c r="J44" s="368"/>
      <c r="K44" s="367"/>
      <c r="L44" s="367"/>
      <c r="M44" s="367"/>
      <c r="N44" s="367"/>
      <c r="O44" s="366"/>
      <c r="P44" s="367"/>
      <c r="Q44" s="367"/>
      <c r="R44" s="368"/>
      <c r="S44" s="367"/>
      <c r="T44" s="367"/>
      <c r="U44" s="367"/>
      <c r="V44" s="367"/>
      <c r="W44" s="366"/>
      <c r="X44" s="367"/>
      <c r="Y44" s="369"/>
    </row>
    <row r="45" spans="1:25" x14ac:dyDescent="0.2">
      <c r="A45" s="182" t="s">
        <v>663</v>
      </c>
      <c r="B45" s="182" t="s">
        <v>611</v>
      </c>
      <c r="C45" s="183">
        <f t="shared" ref="C45:X45" si="4">SUM(C46,C57,C59)</f>
        <v>3928.2000000000003</v>
      </c>
      <c r="D45" s="184">
        <f t="shared" si="4"/>
        <v>3650.9</v>
      </c>
      <c r="E45" s="184">
        <f t="shared" si="4"/>
        <v>3822.1</v>
      </c>
      <c r="F45" s="185">
        <f t="shared" si="4"/>
        <v>3840.5</v>
      </c>
      <c r="G45" s="183">
        <f t="shared" si="4"/>
        <v>4015.3999999999992</v>
      </c>
      <c r="H45" s="184">
        <f t="shared" si="4"/>
        <v>3979.2999999999993</v>
      </c>
      <c r="I45" s="184">
        <f t="shared" si="4"/>
        <v>4279.7</v>
      </c>
      <c r="J45" s="185">
        <f t="shared" si="4"/>
        <v>4224.4999999999991</v>
      </c>
      <c r="K45" s="184">
        <f t="shared" si="4"/>
        <v>4283.199999999998</v>
      </c>
      <c r="L45" s="184">
        <f t="shared" si="4"/>
        <v>4516.8999999999996</v>
      </c>
      <c r="M45" s="184">
        <f t="shared" si="4"/>
        <v>4744.4000000000005</v>
      </c>
      <c r="N45" s="184">
        <f t="shared" si="4"/>
        <v>4886.7</v>
      </c>
      <c r="O45" s="183">
        <f t="shared" si="4"/>
        <v>5134</v>
      </c>
      <c r="P45" s="184">
        <f t="shared" si="4"/>
        <v>5282.4000000000005</v>
      </c>
      <c r="Q45" s="184">
        <f t="shared" si="4"/>
        <v>5531.9</v>
      </c>
      <c r="R45" s="185">
        <f t="shared" si="4"/>
        <v>5653.0999999999995</v>
      </c>
      <c r="S45" s="184">
        <f t="shared" si="4"/>
        <v>5784.2999999999993</v>
      </c>
      <c r="T45" s="184">
        <f t="shared" si="4"/>
        <v>5953.8</v>
      </c>
      <c r="U45" s="184">
        <f t="shared" si="4"/>
        <v>6196.8999999999987</v>
      </c>
      <c r="V45" s="184">
        <f t="shared" si="4"/>
        <v>6416</v>
      </c>
      <c r="W45" s="183">
        <f t="shared" si="4"/>
        <v>6753.4000000000005</v>
      </c>
      <c r="X45" s="184">
        <f t="shared" si="4"/>
        <v>6981.1</v>
      </c>
    </row>
    <row r="46" spans="1:25" x14ac:dyDescent="0.2">
      <c r="A46" s="182" t="s">
        <v>671</v>
      </c>
      <c r="B46" s="182" t="s">
        <v>612</v>
      </c>
      <c r="C46" s="183">
        <f t="shared" ref="C46:X46" si="5">SUM(C47:C56)</f>
        <v>3147.3</v>
      </c>
      <c r="D46" s="184">
        <f t="shared" si="5"/>
        <v>3315.7</v>
      </c>
      <c r="E46" s="184">
        <f t="shared" si="5"/>
        <v>3288.8999999999996</v>
      </c>
      <c r="F46" s="185">
        <f t="shared" si="5"/>
        <v>3209.7999999999997</v>
      </c>
      <c r="G46" s="183">
        <f t="shared" si="5"/>
        <v>3570.6999999999994</v>
      </c>
      <c r="H46" s="184">
        <f t="shared" si="5"/>
        <v>3539.7999999999993</v>
      </c>
      <c r="I46" s="184">
        <f t="shared" si="5"/>
        <v>4054.1</v>
      </c>
      <c r="J46" s="185">
        <f t="shared" si="5"/>
        <v>4083.3999999999996</v>
      </c>
      <c r="K46" s="184">
        <f t="shared" si="5"/>
        <v>4102.1999999999989</v>
      </c>
      <c r="L46" s="184">
        <f t="shared" si="5"/>
        <v>4177.8999999999996</v>
      </c>
      <c r="M46" s="184">
        <f t="shared" si="5"/>
        <v>4465.9000000000005</v>
      </c>
      <c r="N46" s="184">
        <f t="shared" si="5"/>
        <v>4485.4000000000005</v>
      </c>
      <c r="O46" s="183">
        <f t="shared" si="5"/>
        <v>4822.4000000000005</v>
      </c>
      <c r="P46" s="184">
        <f t="shared" si="5"/>
        <v>4818.5000000000009</v>
      </c>
      <c r="Q46" s="184">
        <f t="shared" si="5"/>
        <v>5191.5999999999995</v>
      </c>
      <c r="R46" s="185">
        <f t="shared" si="5"/>
        <v>5191.4999999999991</v>
      </c>
      <c r="S46" s="184">
        <f t="shared" si="5"/>
        <v>5332.4999999999991</v>
      </c>
      <c r="T46" s="184">
        <f t="shared" si="5"/>
        <v>5383.3</v>
      </c>
      <c r="U46" s="184">
        <f t="shared" si="5"/>
        <v>5819.4999999999991</v>
      </c>
      <c r="V46" s="184">
        <f t="shared" si="5"/>
        <v>5817.2</v>
      </c>
      <c r="W46" s="183">
        <f t="shared" si="5"/>
        <v>6259.9000000000005</v>
      </c>
      <c r="X46" s="184">
        <f t="shared" si="5"/>
        <v>6528.3</v>
      </c>
    </row>
    <row r="47" spans="1:25" s="191" customFormat="1" x14ac:dyDescent="0.2">
      <c r="A47" s="186" t="s">
        <v>664</v>
      </c>
      <c r="B47" s="186" t="s">
        <v>613</v>
      </c>
      <c r="C47" s="187">
        <v>130.1</v>
      </c>
      <c r="D47" s="188">
        <v>130.1</v>
      </c>
      <c r="E47" s="188">
        <v>130.1</v>
      </c>
      <c r="F47" s="189">
        <v>130.1</v>
      </c>
      <c r="G47" s="187">
        <v>130.1</v>
      </c>
      <c r="H47" s="188">
        <v>130.1</v>
      </c>
      <c r="I47" s="188">
        <v>130.1</v>
      </c>
      <c r="J47" s="189">
        <v>130.1</v>
      </c>
      <c r="K47" s="188">
        <v>130.1</v>
      </c>
      <c r="L47" s="188">
        <v>130.1</v>
      </c>
      <c r="M47" s="188">
        <v>130.1</v>
      </c>
      <c r="N47" s="188">
        <v>130.1</v>
      </c>
      <c r="O47" s="187">
        <v>130.1</v>
      </c>
      <c r="P47" s="188">
        <v>130.1</v>
      </c>
      <c r="Q47" s="188">
        <v>130.1</v>
      </c>
      <c r="R47" s="189">
        <v>130.1</v>
      </c>
      <c r="S47" s="188">
        <v>130.1</v>
      </c>
      <c r="T47" s="188">
        <v>130.1</v>
      </c>
      <c r="U47" s="188">
        <v>130.1</v>
      </c>
      <c r="V47" s="188">
        <v>130.1</v>
      </c>
      <c r="W47" s="187">
        <v>130.1</v>
      </c>
      <c r="X47" s="188">
        <v>130.10000000000002</v>
      </c>
      <c r="Y47" s="190"/>
    </row>
    <row r="48" spans="1:25" s="191" customFormat="1" x14ac:dyDescent="0.2">
      <c r="A48" s="186" t="s">
        <v>665</v>
      </c>
      <c r="B48" s="186" t="s">
        <v>614</v>
      </c>
      <c r="C48" s="187">
        <v>956.3</v>
      </c>
      <c r="D48" s="188">
        <v>956.3</v>
      </c>
      <c r="E48" s="188">
        <v>956.3</v>
      </c>
      <c r="F48" s="189">
        <v>956.3</v>
      </c>
      <c r="G48" s="187">
        <v>956.3</v>
      </c>
      <c r="H48" s="188">
        <v>956.3</v>
      </c>
      <c r="I48" s="188">
        <v>956.3</v>
      </c>
      <c r="J48" s="189">
        <v>956.3</v>
      </c>
      <c r="K48" s="188">
        <v>956.3</v>
      </c>
      <c r="L48" s="188">
        <v>956.3</v>
      </c>
      <c r="M48" s="188">
        <v>956.3</v>
      </c>
      <c r="N48" s="188">
        <v>956.3</v>
      </c>
      <c r="O48" s="187">
        <v>956.3</v>
      </c>
      <c r="P48" s="188">
        <v>956.3</v>
      </c>
      <c r="Q48" s="188">
        <v>956.3</v>
      </c>
      <c r="R48" s="189">
        <v>956.3</v>
      </c>
      <c r="S48" s="188">
        <v>956.3</v>
      </c>
      <c r="T48" s="188">
        <v>956.3</v>
      </c>
      <c r="U48" s="188">
        <v>956.3</v>
      </c>
      <c r="V48" s="188">
        <v>956.3</v>
      </c>
      <c r="W48" s="187">
        <v>956.3</v>
      </c>
      <c r="X48" s="188">
        <v>956.3</v>
      </c>
      <c r="Y48" s="190"/>
    </row>
    <row r="49" spans="1:25" s="191" customFormat="1" x14ac:dyDescent="0.2">
      <c r="A49" s="186" t="s">
        <v>666</v>
      </c>
      <c r="B49" s="186" t="s">
        <v>615</v>
      </c>
      <c r="C49" s="187">
        <v>61.1</v>
      </c>
      <c r="D49" s="188">
        <v>73.400000000000006</v>
      </c>
      <c r="E49" s="188">
        <v>73.400000000000006</v>
      </c>
      <c r="F49" s="189">
        <v>73.8</v>
      </c>
      <c r="G49" s="187">
        <v>73.8</v>
      </c>
      <c r="H49" s="188">
        <v>73.900000000000006</v>
      </c>
      <c r="I49" s="188">
        <v>73.900000000000006</v>
      </c>
      <c r="J49" s="189">
        <v>74.900000000000006</v>
      </c>
      <c r="K49" s="188">
        <v>74.900000000000006</v>
      </c>
      <c r="L49" s="188">
        <v>74.900000000000006</v>
      </c>
      <c r="M49" s="188">
        <v>74.900000000000006</v>
      </c>
      <c r="N49" s="188">
        <v>74.900000000000006</v>
      </c>
      <c r="O49" s="187">
        <v>74.900000000000006</v>
      </c>
      <c r="P49" s="188">
        <v>75</v>
      </c>
      <c r="Q49" s="188">
        <v>75</v>
      </c>
      <c r="R49" s="189">
        <v>75.099999999999994</v>
      </c>
      <c r="S49" s="188">
        <v>75.099999999999994</v>
      </c>
      <c r="T49" s="188">
        <v>75.2</v>
      </c>
      <c r="U49" s="188">
        <v>75.2</v>
      </c>
      <c r="V49" s="188">
        <v>75.400000000000006</v>
      </c>
      <c r="W49" s="187">
        <v>75.5</v>
      </c>
      <c r="X49" s="188">
        <v>96.399999999999977</v>
      </c>
      <c r="Y49" s="190"/>
    </row>
    <row r="50" spans="1:25" s="191" customFormat="1" x14ac:dyDescent="0.2">
      <c r="A50" s="186" t="s">
        <v>667</v>
      </c>
      <c r="B50" s="186" t="s">
        <v>616</v>
      </c>
      <c r="C50" s="187">
        <v>1359.5</v>
      </c>
      <c r="D50" s="188">
        <v>1506</v>
      </c>
      <c r="E50" s="188">
        <v>1506</v>
      </c>
      <c r="F50" s="189">
        <v>1506</v>
      </c>
      <c r="G50" s="187">
        <v>1506</v>
      </c>
      <c r="H50" s="188">
        <v>1763.9</v>
      </c>
      <c r="I50" s="188">
        <v>1763.9</v>
      </c>
      <c r="J50" s="189">
        <v>1763.9</v>
      </c>
      <c r="K50" s="188">
        <v>1763.9</v>
      </c>
      <c r="L50" s="188">
        <v>2159.5</v>
      </c>
      <c r="M50" s="188">
        <v>2159.5</v>
      </c>
      <c r="N50" s="188">
        <v>2159.5</v>
      </c>
      <c r="O50" s="187">
        <v>2159.5</v>
      </c>
      <c r="P50" s="188">
        <v>2681.6</v>
      </c>
      <c r="Q50" s="188">
        <v>2681.6</v>
      </c>
      <c r="R50" s="189">
        <v>2681.6</v>
      </c>
      <c r="S50" s="188">
        <v>2681.6</v>
      </c>
      <c r="T50" s="188">
        <v>3139.8</v>
      </c>
      <c r="U50" s="188">
        <v>3139.8</v>
      </c>
      <c r="V50" s="188">
        <v>3139.8</v>
      </c>
      <c r="W50" s="187">
        <v>3139.8</v>
      </c>
      <c r="X50" s="188">
        <v>4004.3999999999996</v>
      </c>
      <c r="Y50" s="190"/>
    </row>
    <row r="51" spans="1:25" s="191" customFormat="1" x14ac:dyDescent="0.2">
      <c r="A51" s="186" t="s">
        <v>668</v>
      </c>
      <c r="B51" s="186" t="s">
        <v>617</v>
      </c>
      <c r="C51" s="187">
        <v>480.2</v>
      </c>
      <c r="D51" s="188">
        <v>530.20000000000005</v>
      </c>
      <c r="E51" s="188">
        <v>530.20000000000005</v>
      </c>
      <c r="F51" s="189">
        <v>530.20000000000005</v>
      </c>
      <c r="G51" s="187">
        <v>530.20000000000005</v>
      </c>
      <c r="H51" s="188">
        <v>730.2</v>
      </c>
      <c r="I51" s="188">
        <v>730.2</v>
      </c>
      <c r="J51" s="189">
        <v>730.2</v>
      </c>
      <c r="K51" s="188">
        <v>730.2</v>
      </c>
      <c r="L51" s="188">
        <v>790.2</v>
      </c>
      <c r="M51" s="188">
        <v>790.2</v>
      </c>
      <c r="N51" s="188">
        <v>790.2</v>
      </c>
      <c r="O51" s="187">
        <v>790.2</v>
      </c>
      <c r="P51" s="188">
        <v>850.2</v>
      </c>
      <c r="Q51" s="188">
        <v>850.2</v>
      </c>
      <c r="R51" s="189">
        <v>850.2</v>
      </c>
      <c r="S51" s="188">
        <v>850.2</v>
      </c>
      <c r="T51" s="188">
        <v>910.2</v>
      </c>
      <c r="U51" s="188">
        <v>910.2</v>
      </c>
      <c r="V51" s="188">
        <v>910.1</v>
      </c>
      <c r="W51" s="187">
        <v>910.1</v>
      </c>
      <c r="X51" s="188">
        <v>960.2</v>
      </c>
      <c r="Y51" s="190"/>
    </row>
    <row r="52" spans="1:25" s="191" customFormat="1" x14ac:dyDescent="0.2">
      <c r="A52" s="186" t="s">
        <v>669</v>
      </c>
      <c r="B52" s="186" t="s">
        <v>618</v>
      </c>
      <c r="C52" s="187">
        <v>82.100000000000136</v>
      </c>
      <c r="D52" s="188">
        <v>102.20000000000005</v>
      </c>
      <c r="E52" s="188">
        <v>103.70000000000005</v>
      </c>
      <c r="F52" s="189">
        <v>103.29999999999995</v>
      </c>
      <c r="G52" s="187">
        <v>581.40000000000009</v>
      </c>
      <c r="H52" s="188">
        <v>124.19999999999982</v>
      </c>
      <c r="I52" s="188">
        <v>124.29999999999995</v>
      </c>
      <c r="J52" s="189">
        <v>123.89999999999986</v>
      </c>
      <c r="K52" s="188">
        <v>569.29999999999973</v>
      </c>
      <c r="L52" s="188">
        <v>127.90000000000009</v>
      </c>
      <c r="M52" s="188">
        <v>128.70000000000027</v>
      </c>
      <c r="N52" s="188">
        <v>113.80000000000018</v>
      </c>
      <c r="O52" s="187">
        <v>709.09999999999991</v>
      </c>
      <c r="P52" s="188">
        <v>126.90000000000009</v>
      </c>
      <c r="Q52" s="188">
        <v>127</v>
      </c>
      <c r="R52" s="189">
        <v>126.90000000000009</v>
      </c>
      <c r="S52" s="188">
        <v>686.90000000000009</v>
      </c>
      <c r="T52" s="188">
        <v>169.40000000000009</v>
      </c>
      <c r="U52" s="188">
        <v>170.5</v>
      </c>
      <c r="V52" s="188">
        <v>172.79999999999973</v>
      </c>
      <c r="W52" s="187">
        <v>1047.1000000000004</v>
      </c>
      <c r="X52" s="188">
        <v>112.6</v>
      </c>
      <c r="Y52" s="190"/>
    </row>
    <row r="53" spans="1:25" s="193" customFormat="1" x14ac:dyDescent="0.2">
      <c r="A53" s="186" t="s">
        <v>678</v>
      </c>
      <c r="B53" s="186" t="s">
        <v>619</v>
      </c>
      <c r="C53" s="187">
        <v>0</v>
      </c>
      <c r="D53" s="188">
        <v>0</v>
      </c>
      <c r="E53" s="188">
        <v>0</v>
      </c>
      <c r="F53" s="189">
        <v>0</v>
      </c>
      <c r="G53" s="187">
        <v>0</v>
      </c>
      <c r="H53" s="188">
        <v>0</v>
      </c>
      <c r="I53" s="188">
        <v>407.5</v>
      </c>
      <c r="J53" s="189">
        <v>407.5</v>
      </c>
      <c r="K53" s="188">
        <v>0</v>
      </c>
      <c r="L53" s="188">
        <v>0</v>
      </c>
      <c r="M53" s="188">
        <v>263.5</v>
      </c>
      <c r="N53" s="188">
        <v>263.5</v>
      </c>
      <c r="O53" s="187">
        <v>0</v>
      </c>
      <c r="P53" s="188">
        <v>0</v>
      </c>
      <c r="Q53" s="188">
        <v>369</v>
      </c>
      <c r="R53" s="189">
        <v>369</v>
      </c>
      <c r="S53" s="188">
        <v>0</v>
      </c>
      <c r="T53" s="188">
        <v>0</v>
      </c>
      <c r="U53" s="188">
        <v>446.4</v>
      </c>
      <c r="V53" s="188">
        <v>446.4</v>
      </c>
      <c r="W53" s="187">
        <v>0</v>
      </c>
      <c r="X53" s="188">
        <v>271.50000000000006</v>
      </c>
      <c r="Y53" s="192"/>
    </row>
    <row r="54" spans="1:25" s="191" customFormat="1" x14ac:dyDescent="0.2">
      <c r="A54" s="186" t="s">
        <v>696</v>
      </c>
      <c r="B54" s="186" t="s">
        <v>620</v>
      </c>
      <c r="C54" s="187">
        <v>25.9</v>
      </c>
      <c r="D54" s="188">
        <v>28.9</v>
      </c>
      <c r="E54" s="188">
        <v>1.7</v>
      </c>
      <c r="F54" s="189">
        <v>1.7</v>
      </c>
      <c r="G54" s="187">
        <v>1.7</v>
      </c>
      <c r="H54" s="188">
        <v>1.7</v>
      </c>
      <c r="I54" s="188">
        <v>1.8</v>
      </c>
      <c r="J54" s="189">
        <v>2.2999999999999998</v>
      </c>
      <c r="K54" s="188">
        <v>2.2999999999999998</v>
      </c>
      <c r="L54" s="188">
        <v>2.2999999999999998</v>
      </c>
      <c r="M54" s="188">
        <v>2.2999999999999998</v>
      </c>
      <c r="N54" s="188">
        <v>2.2999999999999998</v>
      </c>
      <c r="O54" s="187">
        <v>2.2999999999999998</v>
      </c>
      <c r="P54" s="188">
        <v>2.2999999999999998</v>
      </c>
      <c r="Q54" s="188">
        <v>2.4</v>
      </c>
      <c r="R54" s="189">
        <v>2.2999999999999998</v>
      </c>
      <c r="S54" s="188">
        <v>2.2999999999999998</v>
      </c>
      <c r="T54" s="188">
        <v>2.2999999999999998</v>
      </c>
      <c r="U54" s="188">
        <v>2.2999999999999998</v>
      </c>
      <c r="V54" s="188">
        <v>2.2999999999999998</v>
      </c>
      <c r="W54" s="187">
        <v>2.2999999999999998</v>
      </c>
      <c r="X54" s="188">
        <v>2.2999999999999998</v>
      </c>
      <c r="Y54" s="190"/>
    </row>
    <row r="55" spans="1:25" s="191" customFormat="1" ht="22.5" x14ac:dyDescent="0.2">
      <c r="A55" s="194" t="s">
        <v>670</v>
      </c>
      <c r="B55" s="194" t="s">
        <v>621</v>
      </c>
      <c r="C55" s="187">
        <v>0</v>
      </c>
      <c r="D55" s="188">
        <v>-65.100000000000009</v>
      </c>
      <c r="E55" s="188">
        <v>-76.900000000000006</v>
      </c>
      <c r="F55" s="189">
        <v>-149.6</v>
      </c>
      <c r="G55" s="187">
        <v>-163.5</v>
      </c>
      <c r="H55" s="188">
        <v>-240.5</v>
      </c>
      <c r="I55" s="188">
        <v>-133.9</v>
      </c>
      <c r="J55" s="189">
        <v>-105.7</v>
      </c>
      <c r="K55" s="188">
        <v>-124.8</v>
      </c>
      <c r="L55" s="188">
        <v>-63.3</v>
      </c>
      <c r="M55" s="188">
        <v>-39.6</v>
      </c>
      <c r="N55" s="188">
        <v>-5.2</v>
      </c>
      <c r="O55" s="187">
        <v>0</v>
      </c>
      <c r="P55" s="188">
        <v>-3.9</v>
      </c>
      <c r="Q55" s="188">
        <v>0</v>
      </c>
      <c r="R55" s="189">
        <v>0</v>
      </c>
      <c r="S55" s="188">
        <v>-50</v>
      </c>
      <c r="T55" s="188">
        <v>0</v>
      </c>
      <c r="U55" s="188">
        <v>-11.3</v>
      </c>
      <c r="V55" s="188">
        <v>-16</v>
      </c>
      <c r="W55" s="187">
        <v>-1.3</v>
      </c>
      <c r="X55" s="188">
        <v>-5.5</v>
      </c>
      <c r="Y55" s="190"/>
    </row>
    <row r="56" spans="1:25" s="191" customFormat="1" x14ac:dyDescent="0.2">
      <c r="A56" s="194" t="s">
        <v>718</v>
      </c>
      <c r="B56" s="194" t="s">
        <v>622</v>
      </c>
      <c r="C56" s="187">
        <v>52.1</v>
      </c>
      <c r="D56" s="188">
        <v>53.7</v>
      </c>
      <c r="E56" s="188">
        <v>64.400000000000006</v>
      </c>
      <c r="F56" s="189">
        <v>58</v>
      </c>
      <c r="G56" s="195">
        <v>-45.3</v>
      </c>
      <c r="H56" s="196">
        <v>0</v>
      </c>
      <c r="I56" s="196">
        <v>0</v>
      </c>
      <c r="J56" s="197">
        <v>0</v>
      </c>
      <c r="K56" s="196">
        <v>0</v>
      </c>
      <c r="L56" s="196">
        <v>0</v>
      </c>
      <c r="M56" s="196">
        <v>0</v>
      </c>
      <c r="N56" s="196">
        <v>0</v>
      </c>
      <c r="O56" s="195">
        <v>0</v>
      </c>
      <c r="P56" s="196">
        <v>0</v>
      </c>
      <c r="Q56" s="196">
        <v>0</v>
      </c>
      <c r="R56" s="197">
        <v>0</v>
      </c>
      <c r="S56" s="196">
        <v>0</v>
      </c>
      <c r="T56" s="196">
        <v>0</v>
      </c>
      <c r="U56" s="196">
        <v>0</v>
      </c>
      <c r="V56" s="196">
        <v>0</v>
      </c>
      <c r="W56" s="195">
        <v>0</v>
      </c>
      <c r="X56" s="196">
        <v>0</v>
      </c>
      <c r="Y56" s="190"/>
    </row>
    <row r="57" spans="1:25" x14ac:dyDescent="0.2">
      <c r="A57" s="182" t="s">
        <v>672</v>
      </c>
      <c r="B57" s="182" t="s">
        <v>623</v>
      </c>
      <c r="C57" s="183">
        <f t="shared" ref="C57:Q57" si="6">SUM(C58)</f>
        <v>24.1</v>
      </c>
      <c r="D57" s="184">
        <f t="shared" si="6"/>
        <v>0</v>
      </c>
      <c r="E57" s="184">
        <f t="shared" si="6"/>
        <v>0</v>
      </c>
      <c r="F57" s="185">
        <f t="shared" si="6"/>
        <v>0</v>
      </c>
      <c r="G57" s="183">
        <f t="shared" si="6"/>
        <v>9.6999999999999993</v>
      </c>
      <c r="H57" s="184">
        <f t="shared" si="6"/>
        <v>0.9</v>
      </c>
      <c r="I57" s="184">
        <f t="shared" si="6"/>
        <v>3.9</v>
      </c>
      <c r="J57" s="185">
        <f t="shared" si="6"/>
        <v>4.7</v>
      </c>
      <c r="K57" s="184">
        <f t="shared" si="6"/>
        <v>3.4</v>
      </c>
      <c r="L57" s="184">
        <f t="shared" si="6"/>
        <v>1.8</v>
      </c>
      <c r="M57" s="184">
        <f t="shared" si="6"/>
        <v>1.8</v>
      </c>
      <c r="N57" s="184">
        <f t="shared" si="6"/>
        <v>2.8</v>
      </c>
      <c r="O57" s="183">
        <f t="shared" si="6"/>
        <v>2.7</v>
      </c>
      <c r="P57" s="184">
        <f t="shared" si="6"/>
        <v>0</v>
      </c>
      <c r="Q57" s="184">
        <f t="shared" si="6"/>
        <v>31.7</v>
      </c>
      <c r="R57" s="185">
        <f t="shared" ref="R57:V57" si="7">SUM(R58)</f>
        <v>8.1</v>
      </c>
      <c r="S57" s="184">
        <f t="shared" si="7"/>
        <v>3.8</v>
      </c>
      <c r="T57" s="184">
        <f t="shared" si="7"/>
        <v>44.6</v>
      </c>
      <c r="U57" s="184">
        <f t="shared" si="7"/>
        <v>16.8</v>
      </c>
      <c r="V57" s="184">
        <f t="shared" si="7"/>
        <v>33.299999999999997</v>
      </c>
      <c r="W57" s="183">
        <f>SUM(W58)</f>
        <v>100</v>
      </c>
      <c r="X57" s="184">
        <f>SUM(X58)</f>
        <v>127.3</v>
      </c>
    </row>
    <row r="58" spans="1:25" s="191" customFormat="1" ht="22.5" x14ac:dyDescent="0.2">
      <c r="A58" s="194" t="s">
        <v>670</v>
      </c>
      <c r="B58" s="194" t="s">
        <v>624</v>
      </c>
      <c r="C58" s="187">
        <v>24.1</v>
      </c>
      <c r="D58" s="188">
        <v>0</v>
      </c>
      <c r="E58" s="188">
        <v>0</v>
      </c>
      <c r="F58" s="189">
        <v>0</v>
      </c>
      <c r="G58" s="187">
        <v>9.6999999999999993</v>
      </c>
      <c r="H58" s="188">
        <v>0.9</v>
      </c>
      <c r="I58" s="188">
        <v>3.9</v>
      </c>
      <c r="J58" s="189">
        <v>4.7</v>
      </c>
      <c r="K58" s="188">
        <v>3.4</v>
      </c>
      <c r="L58" s="188">
        <v>1.8</v>
      </c>
      <c r="M58" s="188">
        <v>1.8</v>
      </c>
      <c r="N58" s="188">
        <v>2.8</v>
      </c>
      <c r="O58" s="187">
        <v>2.7</v>
      </c>
      <c r="P58" s="188">
        <v>0</v>
      </c>
      <c r="Q58" s="188">
        <v>31.7</v>
      </c>
      <c r="R58" s="189">
        <v>8.1</v>
      </c>
      <c r="S58" s="188">
        <v>3.8</v>
      </c>
      <c r="T58" s="188">
        <v>44.6</v>
      </c>
      <c r="U58" s="188">
        <v>16.8</v>
      </c>
      <c r="V58" s="188">
        <v>33.299999999999997</v>
      </c>
      <c r="W58" s="187">
        <v>100</v>
      </c>
      <c r="X58" s="188">
        <v>127.3</v>
      </c>
      <c r="Y58" s="190"/>
    </row>
    <row r="59" spans="1:25" x14ac:dyDescent="0.2">
      <c r="A59" s="198" t="s">
        <v>673</v>
      </c>
      <c r="B59" s="198" t="s">
        <v>625</v>
      </c>
      <c r="C59" s="199">
        <f>SUM(C60:C66)</f>
        <v>756.80000000000007</v>
      </c>
      <c r="D59" s="200">
        <f t="shared" ref="D59:X59" si="8">SUM(D60:D66)</f>
        <v>335.20000000000039</v>
      </c>
      <c r="E59" s="200">
        <f t="shared" si="8"/>
        <v>533.20000000000027</v>
      </c>
      <c r="F59" s="201">
        <f t="shared" si="8"/>
        <v>630.70000000000027</v>
      </c>
      <c r="G59" s="199">
        <f t="shared" si="8"/>
        <v>435</v>
      </c>
      <c r="H59" s="200">
        <f t="shared" si="8"/>
        <v>438.59999999999991</v>
      </c>
      <c r="I59" s="200">
        <f t="shared" si="8"/>
        <v>221.69999999999987</v>
      </c>
      <c r="J59" s="201">
        <f t="shared" si="8"/>
        <v>136.39999999999981</v>
      </c>
      <c r="K59" s="200">
        <f t="shared" si="8"/>
        <v>177.5999999999998</v>
      </c>
      <c r="L59" s="200">
        <f t="shared" si="8"/>
        <v>337.19999999999976</v>
      </c>
      <c r="M59" s="200">
        <f t="shared" si="8"/>
        <v>276.6999999999997</v>
      </c>
      <c r="N59" s="200">
        <f t="shared" si="8"/>
        <v>398.49999999999943</v>
      </c>
      <c r="O59" s="199">
        <f t="shared" si="8"/>
        <v>308.89999999999998</v>
      </c>
      <c r="P59" s="200">
        <f t="shared" si="8"/>
        <v>463.9</v>
      </c>
      <c r="Q59" s="200">
        <f t="shared" si="8"/>
        <v>308.59999999999991</v>
      </c>
      <c r="R59" s="201">
        <f t="shared" si="8"/>
        <v>453.49999999999989</v>
      </c>
      <c r="S59" s="200">
        <f t="shared" si="8"/>
        <v>447.99999999999989</v>
      </c>
      <c r="T59" s="200">
        <f t="shared" si="8"/>
        <v>525.89999999999986</v>
      </c>
      <c r="U59" s="200">
        <f t="shared" si="8"/>
        <v>360.59999999999968</v>
      </c>
      <c r="V59" s="200">
        <f t="shared" si="8"/>
        <v>565.49999999999966</v>
      </c>
      <c r="W59" s="199">
        <f t="shared" si="8"/>
        <v>393.50000000000006</v>
      </c>
      <c r="X59" s="200">
        <f t="shared" si="8"/>
        <v>325.5</v>
      </c>
    </row>
    <row r="60" spans="1:25" s="191" customFormat="1" x14ac:dyDescent="0.2">
      <c r="A60" s="186" t="s">
        <v>674</v>
      </c>
      <c r="B60" s="186" t="s">
        <v>626</v>
      </c>
      <c r="C60" s="187">
        <v>-2</v>
      </c>
      <c r="D60" s="188">
        <v>1.4210854715202004E-14</v>
      </c>
      <c r="E60" s="188">
        <v>0</v>
      </c>
      <c r="F60" s="189">
        <v>0</v>
      </c>
      <c r="G60" s="187">
        <v>9.899999999999995</v>
      </c>
      <c r="H60" s="188">
        <v>0.50000000000000566</v>
      </c>
      <c r="I60" s="188">
        <v>2.5000000000000058</v>
      </c>
      <c r="J60" s="189">
        <v>0</v>
      </c>
      <c r="K60" s="188">
        <v>2.1999999999999944</v>
      </c>
      <c r="L60" s="188">
        <v>1.2</v>
      </c>
      <c r="M60" s="188">
        <v>1.2</v>
      </c>
      <c r="N60" s="188">
        <v>1.0000000000000004</v>
      </c>
      <c r="O60" s="187">
        <v>44.8</v>
      </c>
      <c r="P60" s="188">
        <v>0</v>
      </c>
      <c r="Q60" s="188">
        <v>11.2</v>
      </c>
      <c r="R60" s="189">
        <v>0.5</v>
      </c>
      <c r="S60" s="188">
        <v>0</v>
      </c>
      <c r="T60" s="188">
        <v>1</v>
      </c>
      <c r="U60" s="188">
        <v>0.59999999999999787</v>
      </c>
      <c r="V60" s="188">
        <v>3.4999999999999574</v>
      </c>
      <c r="W60" s="187">
        <v>0.79999999999999716</v>
      </c>
      <c r="X60" s="188">
        <v>1.6000000000000085</v>
      </c>
      <c r="Y60" s="190"/>
    </row>
    <row r="61" spans="1:25" s="191" customFormat="1" x14ac:dyDescent="0.2">
      <c r="A61" s="186" t="s">
        <v>675</v>
      </c>
      <c r="B61" s="186" t="s">
        <v>627</v>
      </c>
      <c r="C61" s="195" t="s">
        <v>558</v>
      </c>
      <c r="D61" s="196" t="s">
        <v>558</v>
      </c>
      <c r="E61" s="196" t="s">
        <v>558</v>
      </c>
      <c r="F61" s="197" t="s">
        <v>558</v>
      </c>
      <c r="G61" s="187">
        <v>57.8</v>
      </c>
      <c r="H61" s="188">
        <v>50.8</v>
      </c>
      <c r="I61" s="188">
        <v>50.2</v>
      </c>
      <c r="J61" s="189">
        <v>52.9</v>
      </c>
      <c r="K61" s="188">
        <v>52.9</v>
      </c>
      <c r="L61" s="188">
        <v>52.8</v>
      </c>
      <c r="M61" s="188">
        <v>52.8</v>
      </c>
      <c r="N61" s="188">
        <v>51.1</v>
      </c>
      <c r="O61" s="187">
        <v>51.1</v>
      </c>
      <c r="P61" s="188">
        <v>51.1</v>
      </c>
      <c r="Q61" s="188">
        <v>51.5</v>
      </c>
      <c r="R61" s="189">
        <v>47.4</v>
      </c>
      <c r="S61" s="188">
        <v>45.9</v>
      </c>
      <c r="T61" s="188">
        <v>45.7</v>
      </c>
      <c r="U61" s="188">
        <v>44.7</v>
      </c>
      <c r="V61" s="188">
        <v>39.299999999999997</v>
      </c>
      <c r="W61" s="187">
        <v>38.6</v>
      </c>
      <c r="X61" s="188">
        <v>38.1</v>
      </c>
      <c r="Y61" s="190"/>
    </row>
    <row r="62" spans="1:25" s="191" customFormat="1" x14ac:dyDescent="0.2">
      <c r="A62" s="186" t="s">
        <v>676</v>
      </c>
      <c r="B62" s="186" t="s">
        <v>628</v>
      </c>
      <c r="C62" s="187">
        <v>0</v>
      </c>
      <c r="D62" s="188">
        <v>0</v>
      </c>
      <c r="E62" s="188">
        <v>0</v>
      </c>
      <c r="F62" s="189">
        <v>0</v>
      </c>
      <c r="G62" s="187">
        <v>0</v>
      </c>
      <c r="H62" s="188">
        <v>-20.2</v>
      </c>
      <c r="I62" s="188">
        <v>2.1</v>
      </c>
      <c r="J62" s="189">
        <v>45.6</v>
      </c>
      <c r="K62" s="188">
        <v>41.7</v>
      </c>
      <c r="L62" s="188">
        <v>19.7</v>
      </c>
      <c r="M62" s="188">
        <v>11.9</v>
      </c>
      <c r="N62" s="188">
        <v>-1</v>
      </c>
      <c r="O62" s="187">
        <v>18.899999999999999</v>
      </c>
      <c r="P62" s="188">
        <v>26</v>
      </c>
      <c r="Q62" s="188">
        <v>34.1</v>
      </c>
      <c r="R62" s="189">
        <v>0.4</v>
      </c>
      <c r="S62" s="188">
        <v>-28.2</v>
      </c>
      <c r="T62" s="188">
        <v>7.8000000000000007</v>
      </c>
      <c r="U62" s="188">
        <v>67.400000000000006</v>
      </c>
      <c r="V62" s="188">
        <v>58.2</v>
      </c>
      <c r="W62" s="187">
        <v>49</v>
      </c>
      <c r="X62" s="188">
        <v>82.7</v>
      </c>
      <c r="Y62" s="190"/>
    </row>
    <row r="63" spans="1:25" s="191" customFormat="1" x14ac:dyDescent="0.2">
      <c r="A63" s="186" t="s">
        <v>677</v>
      </c>
      <c r="B63" s="186" t="s">
        <v>629</v>
      </c>
      <c r="C63" s="187">
        <v>0</v>
      </c>
      <c r="D63" s="188">
        <v>0</v>
      </c>
      <c r="E63" s="188">
        <v>0</v>
      </c>
      <c r="F63" s="189">
        <v>0</v>
      </c>
      <c r="G63" s="187">
        <v>0</v>
      </c>
      <c r="H63" s="188">
        <v>0</v>
      </c>
      <c r="I63" s="188">
        <v>0</v>
      </c>
      <c r="J63" s="189">
        <v>0</v>
      </c>
      <c r="K63" s="188">
        <v>0</v>
      </c>
      <c r="L63" s="188">
        <v>0</v>
      </c>
      <c r="M63" s="188">
        <v>0</v>
      </c>
      <c r="N63" s="188">
        <v>15.8</v>
      </c>
      <c r="O63" s="187">
        <v>16.600000000000001</v>
      </c>
      <c r="P63" s="188">
        <v>17.8</v>
      </c>
      <c r="Q63" s="188">
        <v>19.399999999999999</v>
      </c>
      <c r="R63" s="189">
        <v>21.1</v>
      </c>
      <c r="S63" s="188">
        <v>22.7</v>
      </c>
      <c r="T63" s="188">
        <v>25</v>
      </c>
      <c r="U63" s="188">
        <v>27.8</v>
      </c>
      <c r="V63" s="188">
        <v>30.8</v>
      </c>
      <c r="W63" s="187">
        <v>33.6</v>
      </c>
      <c r="X63" s="188">
        <v>35.5</v>
      </c>
      <c r="Y63" s="190"/>
    </row>
    <row r="64" spans="1:25" s="193" customFormat="1" x14ac:dyDescent="0.2">
      <c r="A64" s="186" t="s">
        <v>678</v>
      </c>
      <c r="B64" s="186" t="s">
        <v>630</v>
      </c>
      <c r="C64" s="187">
        <v>167.40000000000012</v>
      </c>
      <c r="D64" s="188">
        <v>335.20000000000039</v>
      </c>
      <c r="E64" s="188">
        <v>533.20000000000027</v>
      </c>
      <c r="F64" s="189">
        <v>630.70000000000027</v>
      </c>
      <c r="G64" s="187">
        <v>215.10000000000002</v>
      </c>
      <c r="H64" s="188">
        <v>407.49999999999989</v>
      </c>
      <c r="I64" s="188">
        <v>166.89999999999986</v>
      </c>
      <c r="J64" s="189">
        <v>37.899999999999807</v>
      </c>
      <c r="K64" s="188">
        <v>80.799999999999812</v>
      </c>
      <c r="L64" s="188">
        <v>263.49999999999977</v>
      </c>
      <c r="M64" s="188">
        <v>210.79999999999967</v>
      </c>
      <c r="N64" s="188">
        <v>331.59999999999945</v>
      </c>
      <c r="O64" s="187">
        <v>177.49999999999997</v>
      </c>
      <c r="P64" s="188">
        <v>369</v>
      </c>
      <c r="Q64" s="188">
        <v>192.39999999999986</v>
      </c>
      <c r="R64" s="189">
        <v>384.09999999999991</v>
      </c>
      <c r="S64" s="188">
        <v>212.49999999999986</v>
      </c>
      <c r="T64" s="188">
        <v>446.39999999999981</v>
      </c>
      <c r="U64" s="188">
        <v>220.09999999999968</v>
      </c>
      <c r="V64" s="188">
        <v>433.6999999999997</v>
      </c>
      <c r="W64" s="187">
        <v>271.50000000000006</v>
      </c>
      <c r="X64" s="188">
        <v>167.59999999999997</v>
      </c>
      <c r="Y64" s="192"/>
    </row>
    <row r="65" spans="1:25" s="191" customFormat="1" x14ac:dyDescent="0.2">
      <c r="A65" s="186" t="s">
        <v>679</v>
      </c>
      <c r="B65" s="186" t="s">
        <v>631</v>
      </c>
      <c r="C65" s="187">
        <v>0</v>
      </c>
      <c r="D65" s="188">
        <v>0</v>
      </c>
      <c r="E65" s="188">
        <v>0</v>
      </c>
      <c r="F65" s="189">
        <v>0</v>
      </c>
      <c r="G65" s="187">
        <v>152.19999999999999</v>
      </c>
      <c r="H65" s="188">
        <v>0</v>
      </c>
      <c r="I65" s="188">
        <v>0</v>
      </c>
      <c r="J65" s="189">
        <v>0</v>
      </c>
      <c r="K65" s="188">
        <v>0</v>
      </c>
      <c r="L65" s="188">
        <v>0</v>
      </c>
      <c r="M65" s="188">
        <v>0</v>
      </c>
      <c r="N65" s="188">
        <v>0</v>
      </c>
      <c r="O65" s="187">
        <v>0</v>
      </c>
      <c r="P65" s="188">
        <v>0</v>
      </c>
      <c r="Q65" s="188">
        <v>0</v>
      </c>
      <c r="R65" s="189">
        <v>0</v>
      </c>
      <c r="S65" s="188">
        <v>195.1</v>
      </c>
      <c r="T65" s="188">
        <v>0</v>
      </c>
      <c r="U65" s="188">
        <v>0</v>
      </c>
      <c r="V65" s="188">
        <v>0</v>
      </c>
      <c r="W65" s="187">
        <v>0</v>
      </c>
      <c r="X65" s="188">
        <v>0</v>
      </c>
      <c r="Y65" s="190"/>
    </row>
    <row r="66" spans="1:25" s="191" customFormat="1" x14ac:dyDescent="0.2">
      <c r="A66" s="186" t="s">
        <v>719</v>
      </c>
      <c r="B66" s="186" t="s">
        <v>632</v>
      </c>
      <c r="C66" s="187">
        <v>591.4</v>
      </c>
      <c r="D66" s="188">
        <v>0</v>
      </c>
      <c r="E66" s="188">
        <v>0</v>
      </c>
      <c r="F66" s="189">
        <v>0</v>
      </c>
      <c r="G66" s="187">
        <v>0</v>
      </c>
      <c r="H66" s="188">
        <v>0</v>
      </c>
      <c r="I66" s="188">
        <v>0</v>
      </c>
      <c r="J66" s="189">
        <v>0</v>
      </c>
      <c r="K66" s="188">
        <v>0</v>
      </c>
      <c r="L66" s="188">
        <v>0</v>
      </c>
      <c r="M66" s="188">
        <v>0</v>
      </c>
      <c r="N66" s="188">
        <v>0</v>
      </c>
      <c r="O66" s="187">
        <v>0</v>
      </c>
      <c r="P66" s="188">
        <v>0</v>
      </c>
      <c r="Q66" s="188">
        <v>0</v>
      </c>
      <c r="R66" s="189">
        <v>0</v>
      </c>
      <c r="S66" s="188">
        <v>0</v>
      </c>
      <c r="T66" s="188">
        <v>0</v>
      </c>
      <c r="U66" s="188">
        <v>0</v>
      </c>
      <c r="V66" s="188">
        <v>0</v>
      </c>
      <c r="W66" s="187">
        <v>0</v>
      </c>
      <c r="X66" s="188">
        <v>0</v>
      </c>
      <c r="Y66" s="190"/>
    </row>
    <row r="67" spans="1:25" x14ac:dyDescent="0.2">
      <c r="A67" s="202" t="s">
        <v>680</v>
      </c>
      <c r="B67" s="202" t="s">
        <v>633</v>
      </c>
      <c r="C67" s="183">
        <f t="shared" ref="C67:V67" si="9">SUM(C68,C72)</f>
        <v>-287.59999999999997</v>
      </c>
      <c r="D67" s="184">
        <f t="shared" si="9"/>
        <v>-310.3</v>
      </c>
      <c r="E67" s="184">
        <f t="shared" si="9"/>
        <v>-177.8</v>
      </c>
      <c r="F67" s="185">
        <f t="shared" si="9"/>
        <v>-227</v>
      </c>
      <c r="G67" s="183">
        <f t="shared" si="9"/>
        <v>-325.10000000000002</v>
      </c>
      <c r="H67" s="184">
        <f t="shared" si="9"/>
        <v>-292.60000000000002</v>
      </c>
      <c r="I67" s="184">
        <f t="shared" si="9"/>
        <v>-259.60000000000002</v>
      </c>
      <c r="J67" s="185">
        <f t="shared" si="9"/>
        <v>-276.5</v>
      </c>
      <c r="K67" s="184">
        <f t="shared" si="9"/>
        <v>-353.5</v>
      </c>
      <c r="L67" s="184">
        <f t="shared" si="9"/>
        <v>-294.3</v>
      </c>
      <c r="M67" s="184">
        <f t="shared" si="9"/>
        <v>-301.59999999999997</v>
      </c>
      <c r="N67" s="184">
        <f t="shared" si="9"/>
        <v>-301.8</v>
      </c>
      <c r="O67" s="183">
        <f t="shared" si="9"/>
        <v>-307.5</v>
      </c>
      <c r="P67" s="184">
        <f t="shared" si="9"/>
        <v>-327</v>
      </c>
      <c r="Q67" s="184">
        <f t="shared" si="9"/>
        <v>-333.6</v>
      </c>
      <c r="R67" s="185">
        <f t="shared" si="9"/>
        <v>-355.7</v>
      </c>
      <c r="S67" s="184">
        <f t="shared" si="9"/>
        <v>-319.89999999999998</v>
      </c>
      <c r="T67" s="184">
        <f t="shared" si="9"/>
        <v>-338</v>
      </c>
      <c r="U67" s="184">
        <f t="shared" si="9"/>
        <v>-355.2</v>
      </c>
      <c r="V67" s="184">
        <f t="shared" si="9"/>
        <v>-524</v>
      </c>
      <c r="W67" s="183">
        <f>SUM(W68,W72)</f>
        <v>-514.19999999999993</v>
      </c>
      <c r="X67" s="184">
        <f>SUM(X68,X72)</f>
        <v>-498.1</v>
      </c>
    </row>
    <row r="68" spans="1:25" x14ac:dyDescent="0.2">
      <c r="A68" s="203" t="s">
        <v>681</v>
      </c>
      <c r="B68" s="203" t="s">
        <v>634</v>
      </c>
      <c r="C68" s="183">
        <f t="shared" ref="C68:Q68" si="10">SUM(C69:C71)</f>
        <v>-325.7</v>
      </c>
      <c r="D68" s="184">
        <f t="shared" si="10"/>
        <v>-319.3</v>
      </c>
      <c r="E68" s="184">
        <f t="shared" si="10"/>
        <v>-319</v>
      </c>
      <c r="F68" s="185">
        <f t="shared" si="10"/>
        <v>-318.8</v>
      </c>
      <c r="G68" s="183">
        <f t="shared" si="10"/>
        <v>-346.1</v>
      </c>
      <c r="H68" s="184">
        <f t="shared" si="10"/>
        <v>-350.1</v>
      </c>
      <c r="I68" s="184">
        <f t="shared" si="10"/>
        <v>-345.6</v>
      </c>
      <c r="J68" s="185">
        <f t="shared" si="10"/>
        <v>-351.5</v>
      </c>
      <c r="K68" s="184">
        <f t="shared" si="10"/>
        <v>-350.1</v>
      </c>
      <c r="L68" s="184">
        <f t="shared" si="10"/>
        <v>-356</v>
      </c>
      <c r="M68" s="184">
        <f t="shared" si="10"/>
        <v>-354.59999999999997</v>
      </c>
      <c r="N68" s="184">
        <f t="shared" si="10"/>
        <v>-364.5</v>
      </c>
      <c r="O68" s="183">
        <f t="shared" si="10"/>
        <v>-360.2</v>
      </c>
      <c r="P68" s="184">
        <f t="shared" si="10"/>
        <v>-365.9</v>
      </c>
      <c r="Q68" s="184">
        <f t="shared" si="10"/>
        <v>-345.8</v>
      </c>
      <c r="R68" s="185">
        <f t="shared" ref="R68:V68" si="11">SUM(R69:R71)</f>
        <v>-374.09999999999997</v>
      </c>
      <c r="S68" s="184">
        <f t="shared" si="11"/>
        <v>-378.2</v>
      </c>
      <c r="T68" s="184">
        <f t="shared" si="11"/>
        <v>-377.8</v>
      </c>
      <c r="U68" s="184">
        <f t="shared" si="11"/>
        <v>-378.8</v>
      </c>
      <c r="V68" s="184">
        <f t="shared" si="11"/>
        <v>-523.4</v>
      </c>
      <c r="W68" s="183">
        <f>SUM(W69:W71)</f>
        <v>-458.09999999999997</v>
      </c>
      <c r="X68" s="184">
        <f>SUM(X69:X71)</f>
        <v>-449.5</v>
      </c>
    </row>
    <row r="69" spans="1:25" s="191" customFormat="1" x14ac:dyDescent="0.2">
      <c r="A69" s="186" t="s">
        <v>635</v>
      </c>
      <c r="B69" s="186" t="s">
        <v>635</v>
      </c>
      <c r="C69" s="187">
        <v>-325.7</v>
      </c>
      <c r="D69" s="188">
        <v>-319.3</v>
      </c>
      <c r="E69" s="188">
        <v>-319</v>
      </c>
      <c r="F69" s="189">
        <v>-318.8</v>
      </c>
      <c r="G69" s="187">
        <v>-315.8</v>
      </c>
      <c r="H69" s="188">
        <v>-311</v>
      </c>
      <c r="I69" s="188">
        <v>-309.5</v>
      </c>
      <c r="J69" s="189">
        <v>-316.2</v>
      </c>
      <c r="K69" s="188">
        <v>-313.5</v>
      </c>
      <c r="L69" s="188">
        <v>-317.8</v>
      </c>
      <c r="M69" s="188">
        <v>-316.39999999999998</v>
      </c>
      <c r="N69" s="188">
        <v>-327.3</v>
      </c>
      <c r="O69" s="187">
        <v>-322.89999999999998</v>
      </c>
      <c r="P69" s="188">
        <v>-325.89999999999998</v>
      </c>
      <c r="Q69" s="188">
        <v>-325.8</v>
      </c>
      <c r="R69" s="189">
        <v>-342.2</v>
      </c>
      <c r="S69" s="188">
        <v>-342</v>
      </c>
      <c r="T69" s="188">
        <v>-357.8</v>
      </c>
      <c r="U69" s="188">
        <v>-355.6</v>
      </c>
      <c r="V69" s="188">
        <v>-362</v>
      </c>
      <c r="W69" s="187">
        <v>-360.4</v>
      </c>
      <c r="X69" s="188">
        <v>-358.8</v>
      </c>
      <c r="Y69" s="190"/>
    </row>
    <row r="70" spans="1:25" s="191" customFormat="1" x14ac:dyDescent="0.2">
      <c r="A70" s="186" t="s">
        <v>682</v>
      </c>
      <c r="B70" s="186" t="s">
        <v>636</v>
      </c>
      <c r="C70" s="187">
        <v>0</v>
      </c>
      <c r="D70" s="188">
        <v>0</v>
      </c>
      <c r="E70" s="188">
        <v>0</v>
      </c>
      <c r="F70" s="189">
        <v>0</v>
      </c>
      <c r="G70" s="187">
        <v>-30.3</v>
      </c>
      <c r="H70" s="188">
        <v>-39.1</v>
      </c>
      <c r="I70" s="188">
        <v>-36.1</v>
      </c>
      <c r="J70" s="189">
        <v>-35.299999999999997</v>
      </c>
      <c r="K70" s="188">
        <v>-36.6</v>
      </c>
      <c r="L70" s="188">
        <v>-38.200000000000003</v>
      </c>
      <c r="M70" s="188">
        <v>-38.200000000000003</v>
      </c>
      <c r="N70" s="188">
        <v>-37.200000000000003</v>
      </c>
      <c r="O70" s="187">
        <v>-37.299999999999997</v>
      </c>
      <c r="P70" s="188">
        <v>-40</v>
      </c>
      <c r="Q70" s="188">
        <v>-20</v>
      </c>
      <c r="R70" s="189">
        <v>-31.9</v>
      </c>
      <c r="S70" s="188">
        <v>-36.200000000000003</v>
      </c>
      <c r="T70" s="188">
        <v>-20</v>
      </c>
      <c r="U70" s="188">
        <v>-23.2</v>
      </c>
      <c r="V70" s="188">
        <v>-20</v>
      </c>
      <c r="W70" s="187">
        <v>-20</v>
      </c>
      <c r="X70" s="188">
        <v>-20</v>
      </c>
      <c r="Y70" s="190"/>
    </row>
    <row r="71" spans="1:25" s="191" customFormat="1" x14ac:dyDescent="0.2">
      <c r="A71" s="186" t="s">
        <v>683</v>
      </c>
      <c r="B71" s="186" t="s">
        <v>637</v>
      </c>
      <c r="C71" s="187">
        <v>0</v>
      </c>
      <c r="D71" s="188">
        <v>0</v>
      </c>
      <c r="E71" s="188">
        <v>0</v>
      </c>
      <c r="F71" s="189">
        <v>0</v>
      </c>
      <c r="G71" s="187">
        <v>0</v>
      </c>
      <c r="H71" s="188">
        <v>0</v>
      </c>
      <c r="I71" s="188">
        <v>0</v>
      </c>
      <c r="J71" s="189">
        <v>0</v>
      </c>
      <c r="K71" s="188">
        <v>0</v>
      </c>
      <c r="L71" s="188">
        <v>0</v>
      </c>
      <c r="M71" s="188">
        <v>0</v>
      </c>
      <c r="N71" s="188">
        <v>0</v>
      </c>
      <c r="O71" s="187">
        <v>0</v>
      </c>
      <c r="P71" s="188">
        <v>0</v>
      </c>
      <c r="Q71" s="188">
        <v>0</v>
      </c>
      <c r="R71" s="189">
        <v>0</v>
      </c>
      <c r="S71" s="188">
        <v>0</v>
      </c>
      <c r="T71" s="188">
        <v>0</v>
      </c>
      <c r="U71" s="188">
        <v>0</v>
      </c>
      <c r="V71" s="188">
        <v>-141.39999999999998</v>
      </c>
      <c r="W71" s="187">
        <v>-77.7</v>
      </c>
      <c r="X71" s="188">
        <v>-70.7</v>
      </c>
      <c r="Y71" s="190"/>
    </row>
    <row r="72" spans="1:25" x14ac:dyDescent="0.2">
      <c r="A72" s="203" t="s">
        <v>684</v>
      </c>
      <c r="B72" s="203" t="s">
        <v>638</v>
      </c>
      <c r="C72" s="183">
        <f t="shared" ref="C72:V72" si="12">SUM(C73:C75)</f>
        <v>38.1</v>
      </c>
      <c r="D72" s="184">
        <f t="shared" si="12"/>
        <v>9</v>
      </c>
      <c r="E72" s="184">
        <f t="shared" si="12"/>
        <v>141.19999999999999</v>
      </c>
      <c r="F72" s="185">
        <f t="shared" si="12"/>
        <v>91.8</v>
      </c>
      <c r="G72" s="183">
        <f t="shared" si="12"/>
        <v>21</v>
      </c>
      <c r="H72" s="184">
        <f t="shared" si="12"/>
        <v>57.5</v>
      </c>
      <c r="I72" s="184">
        <f t="shared" si="12"/>
        <v>86</v>
      </c>
      <c r="J72" s="185">
        <f t="shared" si="12"/>
        <v>75</v>
      </c>
      <c r="K72" s="184">
        <f t="shared" si="12"/>
        <v>-3.4</v>
      </c>
      <c r="L72" s="184">
        <f t="shared" si="12"/>
        <v>61.7</v>
      </c>
      <c r="M72" s="184">
        <f t="shared" si="12"/>
        <v>53</v>
      </c>
      <c r="N72" s="184">
        <f t="shared" si="12"/>
        <v>62.7</v>
      </c>
      <c r="O72" s="183">
        <f t="shared" si="12"/>
        <v>52.699999999999996</v>
      </c>
      <c r="P72" s="184">
        <f t="shared" si="12"/>
        <v>38.9</v>
      </c>
      <c r="Q72" s="184">
        <f t="shared" si="12"/>
        <v>12.200000000000003</v>
      </c>
      <c r="R72" s="185">
        <f t="shared" si="12"/>
        <v>18.399999999999999</v>
      </c>
      <c r="S72" s="184">
        <f t="shared" si="12"/>
        <v>58.300000000000004</v>
      </c>
      <c r="T72" s="184">
        <f t="shared" si="12"/>
        <v>39.799999999999997</v>
      </c>
      <c r="U72" s="184">
        <f t="shared" si="12"/>
        <v>23.599999999999998</v>
      </c>
      <c r="V72" s="184">
        <f t="shared" si="12"/>
        <v>-0.59999999999999432</v>
      </c>
      <c r="W72" s="183">
        <f>SUM(W73:W75)</f>
        <v>-56.1</v>
      </c>
      <c r="X72" s="184">
        <f>SUM(X73:X75)</f>
        <v>-48.6</v>
      </c>
    </row>
    <row r="73" spans="1:25" s="191" customFormat="1" x14ac:dyDescent="0.2">
      <c r="A73" s="186" t="s">
        <v>682</v>
      </c>
      <c r="B73" s="186" t="s">
        <v>636</v>
      </c>
      <c r="C73" s="187">
        <v>0</v>
      </c>
      <c r="D73" s="188">
        <v>0</v>
      </c>
      <c r="E73" s="188">
        <v>0</v>
      </c>
      <c r="F73" s="189">
        <v>0</v>
      </c>
      <c r="G73" s="187">
        <v>-9.6999999999999993</v>
      </c>
      <c r="H73" s="188">
        <v>-0.9</v>
      </c>
      <c r="I73" s="188">
        <v>-3.9</v>
      </c>
      <c r="J73" s="189">
        <v>-4.7</v>
      </c>
      <c r="K73" s="188">
        <v>-3.4</v>
      </c>
      <c r="L73" s="188">
        <v>-1.8</v>
      </c>
      <c r="M73" s="188">
        <v>-1.8</v>
      </c>
      <c r="N73" s="188">
        <v>-2.8</v>
      </c>
      <c r="O73" s="187">
        <v>-2.7</v>
      </c>
      <c r="P73" s="188">
        <v>0</v>
      </c>
      <c r="Q73" s="188">
        <v>-20</v>
      </c>
      <c r="R73" s="189">
        <v>-8.1</v>
      </c>
      <c r="S73" s="188">
        <v>-3.8</v>
      </c>
      <c r="T73" s="188">
        <v>-20</v>
      </c>
      <c r="U73" s="188">
        <v>-16.8</v>
      </c>
      <c r="V73" s="188">
        <v>-20</v>
      </c>
      <c r="W73" s="187">
        <v>-20</v>
      </c>
      <c r="X73" s="188">
        <v>-20</v>
      </c>
      <c r="Y73" s="190"/>
    </row>
    <row r="74" spans="1:25" s="191" customFormat="1" x14ac:dyDescent="0.2">
      <c r="A74" s="186" t="s">
        <v>683</v>
      </c>
      <c r="B74" s="186" t="s">
        <v>637</v>
      </c>
      <c r="C74" s="187">
        <v>0</v>
      </c>
      <c r="D74" s="188">
        <v>0</v>
      </c>
      <c r="E74" s="188">
        <v>0</v>
      </c>
      <c r="F74" s="189">
        <v>0</v>
      </c>
      <c r="G74" s="187">
        <v>0</v>
      </c>
      <c r="H74" s="188">
        <v>0</v>
      </c>
      <c r="I74" s="188">
        <v>0</v>
      </c>
      <c r="J74" s="189">
        <v>0</v>
      </c>
      <c r="K74" s="188">
        <v>0</v>
      </c>
      <c r="L74" s="188">
        <v>0</v>
      </c>
      <c r="M74" s="188">
        <v>0</v>
      </c>
      <c r="N74" s="188">
        <v>0</v>
      </c>
      <c r="O74" s="187">
        <v>0</v>
      </c>
      <c r="P74" s="188">
        <v>0</v>
      </c>
      <c r="Q74" s="188">
        <v>0</v>
      </c>
      <c r="R74" s="189">
        <v>0</v>
      </c>
      <c r="S74" s="188">
        <v>0</v>
      </c>
      <c r="T74" s="188">
        <v>0</v>
      </c>
      <c r="U74" s="188">
        <v>0</v>
      </c>
      <c r="V74" s="188">
        <v>-13.299999999999997</v>
      </c>
      <c r="W74" s="187">
        <v>-77.7</v>
      </c>
      <c r="X74" s="188">
        <v>-70.7</v>
      </c>
      <c r="Y74" s="190"/>
    </row>
    <row r="75" spans="1:25" s="191" customFormat="1" x14ac:dyDescent="0.2">
      <c r="A75" s="204" t="s">
        <v>685</v>
      </c>
      <c r="B75" s="204" t="s">
        <v>639</v>
      </c>
      <c r="C75" s="205">
        <v>38.1</v>
      </c>
      <c r="D75" s="206">
        <v>9</v>
      </c>
      <c r="E75" s="206">
        <v>141.19999999999999</v>
      </c>
      <c r="F75" s="207">
        <v>91.8</v>
      </c>
      <c r="G75" s="205">
        <v>30.7</v>
      </c>
      <c r="H75" s="206">
        <v>58.4</v>
      </c>
      <c r="I75" s="206">
        <v>89.9</v>
      </c>
      <c r="J75" s="207">
        <v>79.7</v>
      </c>
      <c r="K75" s="206">
        <v>0</v>
      </c>
      <c r="L75" s="206">
        <v>63.5</v>
      </c>
      <c r="M75" s="206">
        <v>54.8</v>
      </c>
      <c r="N75" s="206">
        <v>65.5</v>
      </c>
      <c r="O75" s="205">
        <v>55.4</v>
      </c>
      <c r="P75" s="206">
        <v>38.9</v>
      </c>
      <c r="Q75" s="206">
        <v>32.200000000000003</v>
      </c>
      <c r="R75" s="207">
        <v>26.5</v>
      </c>
      <c r="S75" s="206">
        <v>62.1</v>
      </c>
      <c r="T75" s="206">
        <v>59.8</v>
      </c>
      <c r="U75" s="206">
        <v>40.4</v>
      </c>
      <c r="V75" s="206">
        <v>32.700000000000003</v>
      </c>
      <c r="W75" s="205">
        <v>41.6</v>
      </c>
      <c r="X75" s="206">
        <v>42.1</v>
      </c>
      <c r="Y75" s="190"/>
    </row>
    <row r="76" spans="1:25" s="191" customFormat="1" ht="13.5" thickBot="1" x14ac:dyDescent="0.25">
      <c r="A76" s="353"/>
      <c r="B76" s="353"/>
      <c r="C76" s="354"/>
      <c r="D76" s="355"/>
      <c r="E76" s="355"/>
      <c r="F76" s="356"/>
      <c r="G76" s="354"/>
      <c r="H76" s="355"/>
      <c r="I76" s="355"/>
      <c r="J76" s="356"/>
      <c r="K76" s="355"/>
      <c r="L76" s="355"/>
      <c r="M76" s="355"/>
      <c r="N76" s="355"/>
      <c r="O76" s="354"/>
      <c r="P76" s="355"/>
      <c r="Q76" s="355"/>
      <c r="R76" s="356"/>
      <c r="S76" s="355"/>
      <c r="T76" s="355"/>
      <c r="U76" s="355"/>
      <c r="V76" s="355"/>
      <c r="W76" s="354"/>
      <c r="X76" s="355"/>
      <c r="Y76" s="190"/>
    </row>
    <row r="77" spans="1:25" ht="36.75" thickBot="1" x14ac:dyDescent="0.25">
      <c r="A77" s="361" t="s">
        <v>698</v>
      </c>
      <c r="B77" s="361" t="s">
        <v>640</v>
      </c>
      <c r="C77" s="362" t="s">
        <v>558</v>
      </c>
      <c r="D77" s="363" t="s">
        <v>558</v>
      </c>
      <c r="E77" s="363" t="s">
        <v>558</v>
      </c>
      <c r="F77" s="364" t="s">
        <v>558</v>
      </c>
      <c r="G77" s="362" t="s">
        <v>558</v>
      </c>
      <c r="H77" s="363" t="s">
        <v>558</v>
      </c>
      <c r="I77" s="363" t="s">
        <v>558</v>
      </c>
      <c r="J77" s="364" t="s">
        <v>558</v>
      </c>
      <c r="K77" s="363" t="s">
        <v>558</v>
      </c>
      <c r="L77" s="363" t="s">
        <v>558</v>
      </c>
      <c r="M77" s="363" t="s">
        <v>558</v>
      </c>
      <c r="N77" s="363" t="s">
        <v>558</v>
      </c>
      <c r="O77" s="362" t="s">
        <v>558</v>
      </c>
      <c r="P77" s="363" t="s">
        <v>558</v>
      </c>
      <c r="Q77" s="363" t="s">
        <v>558</v>
      </c>
      <c r="R77" s="364" t="s">
        <v>558</v>
      </c>
      <c r="S77" s="363" t="s">
        <v>558</v>
      </c>
      <c r="T77" s="363" t="s">
        <v>558</v>
      </c>
      <c r="U77" s="363" t="s">
        <v>558</v>
      </c>
      <c r="V77" s="363">
        <f t="shared" ref="V77:W77" si="13">SUM(V46,V57,V68,V72)</f>
        <v>5326.5</v>
      </c>
      <c r="W77" s="362">
        <f t="shared" si="13"/>
        <v>5845.7</v>
      </c>
      <c r="X77" s="363">
        <f>SUM(X46,X57,X68,X72)</f>
        <v>6157.5</v>
      </c>
    </row>
    <row r="78" spans="1:25" x14ac:dyDescent="0.2">
      <c r="A78" s="357" t="s">
        <v>686</v>
      </c>
      <c r="B78" s="357" t="s">
        <v>641</v>
      </c>
      <c r="C78" s="358" t="s">
        <v>558</v>
      </c>
      <c r="D78" s="359" t="s">
        <v>558</v>
      </c>
      <c r="E78" s="359" t="s">
        <v>558</v>
      </c>
      <c r="F78" s="360" t="s">
        <v>558</v>
      </c>
      <c r="G78" s="358" t="s">
        <v>558</v>
      </c>
      <c r="H78" s="359" t="s">
        <v>558</v>
      </c>
      <c r="I78" s="359" t="s">
        <v>558</v>
      </c>
      <c r="J78" s="360" t="s">
        <v>558</v>
      </c>
      <c r="K78" s="359" t="s">
        <v>558</v>
      </c>
      <c r="L78" s="359" t="s">
        <v>558</v>
      </c>
      <c r="M78" s="359" t="s">
        <v>558</v>
      </c>
      <c r="N78" s="359" t="s">
        <v>558</v>
      </c>
      <c r="O78" s="358" t="s">
        <v>558</v>
      </c>
      <c r="P78" s="359" t="s">
        <v>558</v>
      </c>
      <c r="Q78" s="359" t="s">
        <v>558</v>
      </c>
      <c r="R78" s="360" t="s">
        <v>558</v>
      </c>
      <c r="S78" s="359" t="s">
        <v>558</v>
      </c>
      <c r="T78" s="359" t="s">
        <v>558</v>
      </c>
      <c r="U78" s="359" t="s">
        <v>558</v>
      </c>
      <c r="V78" s="359">
        <f t="shared" ref="V78:W78" si="14">SUM(V46,V68)</f>
        <v>5293.8</v>
      </c>
      <c r="W78" s="358">
        <f t="shared" si="14"/>
        <v>5801.8</v>
      </c>
      <c r="X78" s="359">
        <f>SUM(X46,X68)</f>
        <v>6078.8</v>
      </c>
    </row>
    <row r="79" spans="1:25" x14ac:dyDescent="0.2">
      <c r="A79" s="208" t="s">
        <v>687</v>
      </c>
      <c r="B79" s="208" t="s">
        <v>642</v>
      </c>
      <c r="C79" s="209" t="s">
        <v>558</v>
      </c>
      <c r="D79" s="210" t="s">
        <v>558</v>
      </c>
      <c r="E79" s="210" t="s">
        <v>558</v>
      </c>
      <c r="F79" s="211" t="s">
        <v>558</v>
      </c>
      <c r="G79" s="209" t="s">
        <v>558</v>
      </c>
      <c r="H79" s="210" t="s">
        <v>558</v>
      </c>
      <c r="I79" s="210" t="s">
        <v>558</v>
      </c>
      <c r="J79" s="211" t="s">
        <v>558</v>
      </c>
      <c r="K79" s="210" t="s">
        <v>558</v>
      </c>
      <c r="L79" s="210" t="s">
        <v>558</v>
      </c>
      <c r="M79" s="210" t="s">
        <v>558</v>
      </c>
      <c r="N79" s="210" t="s">
        <v>558</v>
      </c>
      <c r="O79" s="209" t="s">
        <v>558</v>
      </c>
      <c r="P79" s="210" t="s">
        <v>558</v>
      </c>
      <c r="Q79" s="210" t="s">
        <v>558</v>
      </c>
      <c r="R79" s="211" t="s">
        <v>558</v>
      </c>
      <c r="S79" s="210" t="s">
        <v>558</v>
      </c>
      <c r="T79" s="210" t="s">
        <v>558</v>
      </c>
      <c r="U79" s="210" t="s">
        <v>558</v>
      </c>
      <c r="V79" s="210">
        <f t="shared" ref="V79:W79" si="15">SUM(V57,V72)</f>
        <v>32.700000000000003</v>
      </c>
      <c r="W79" s="209">
        <f t="shared" si="15"/>
        <v>43.9</v>
      </c>
      <c r="X79" s="210">
        <f>SUM(X57,X72)</f>
        <v>78.699999999999989</v>
      </c>
    </row>
    <row r="80" spans="1:25" ht="13.5" thickBot="1" x14ac:dyDescent="0.25">
      <c r="A80" s="208"/>
      <c r="B80" s="208"/>
      <c r="C80" s="209"/>
      <c r="D80" s="210"/>
      <c r="E80" s="210"/>
      <c r="F80" s="211"/>
      <c r="G80" s="209"/>
      <c r="H80" s="210"/>
      <c r="I80" s="210"/>
      <c r="J80" s="211"/>
      <c r="K80" s="210"/>
      <c r="L80" s="210"/>
      <c r="M80" s="210"/>
      <c r="N80" s="210"/>
      <c r="O80" s="209"/>
      <c r="P80" s="210"/>
      <c r="Q80" s="210"/>
      <c r="R80" s="211"/>
      <c r="S80" s="210"/>
      <c r="T80" s="210"/>
      <c r="U80" s="210"/>
      <c r="V80" s="210"/>
      <c r="W80" s="209"/>
      <c r="X80" s="210"/>
    </row>
    <row r="81" spans="1:25" ht="36.75" thickBot="1" x14ac:dyDescent="0.25">
      <c r="A81" s="361" t="s">
        <v>699</v>
      </c>
      <c r="B81" s="361" t="s">
        <v>643</v>
      </c>
      <c r="C81" s="362">
        <f t="shared" ref="C81:W81" si="16">SUM(C46,C57,C69,C70,C73,C75)</f>
        <v>2883.8</v>
      </c>
      <c r="D81" s="363">
        <f t="shared" si="16"/>
        <v>3005.3999999999996</v>
      </c>
      <c r="E81" s="363">
        <f t="shared" si="16"/>
        <v>3111.0999999999995</v>
      </c>
      <c r="F81" s="364">
        <f t="shared" si="16"/>
        <v>2982.7999999999997</v>
      </c>
      <c r="G81" s="362">
        <f t="shared" si="16"/>
        <v>3255.2999999999988</v>
      </c>
      <c r="H81" s="363">
        <f t="shared" si="16"/>
        <v>3248.0999999999995</v>
      </c>
      <c r="I81" s="363">
        <f t="shared" si="16"/>
        <v>3798.4</v>
      </c>
      <c r="J81" s="364">
        <f t="shared" si="16"/>
        <v>3811.5999999999995</v>
      </c>
      <c r="K81" s="363">
        <f t="shared" si="16"/>
        <v>3752.0999999999985</v>
      </c>
      <c r="L81" s="363">
        <f t="shared" si="16"/>
        <v>3885.3999999999996</v>
      </c>
      <c r="M81" s="363">
        <f t="shared" si="16"/>
        <v>4166.1000000000013</v>
      </c>
      <c r="N81" s="363">
        <f t="shared" si="16"/>
        <v>4186.4000000000005</v>
      </c>
      <c r="O81" s="362">
        <f t="shared" si="16"/>
        <v>4517.6000000000004</v>
      </c>
      <c r="P81" s="363">
        <f t="shared" si="16"/>
        <v>4491.5000000000009</v>
      </c>
      <c r="Q81" s="363">
        <f t="shared" si="16"/>
        <v>4889.6999999999989</v>
      </c>
      <c r="R81" s="364">
        <f t="shared" si="16"/>
        <v>4843.8999999999996</v>
      </c>
      <c r="S81" s="363">
        <f t="shared" si="16"/>
        <v>5016.3999999999996</v>
      </c>
      <c r="T81" s="363">
        <f t="shared" si="16"/>
        <v>5089.9000000000005</v>
      </c>
      <c r="U81" s="363">
        <f t="shared" si="16"/>
        <v>5481.0999999999985</v>
      </c>
      <c r="V81" s="363">
        <f t="shared" si="16"/>
        <v>5481.2</v>
      </c>
      <c r="W81" s="362">
        <f t="shared" si="16"/>
        <v>6001.1000000000013</v>
      </c>
      <c r="X81" s="363">
        <f>SUM(X46,X57,X69,X70,X73,X75)</f>
        <v>6298.9000000000005</v>
      </c>
    </row>
    <row r="82" spans="1:25" x14ac:dyDescent="0.2">
      <c r="A82" s="208" t="s">
        <v>686</v>
      </c>
      <c r="B82" s="208" t="s">
        <v>641</v>
      </c>
      <c r="C82" s="212">
        <f t="shared" ref="C82:W82" si="17">SUM(C46,C69,C70)</f>
        <v>2821.6000000000004</v>
      </c>
      <c r="D82" s="213">
        <f t="shared" si="17"/>
        <v>2996.3999999999996</v>
      </c>
      <c r="E82" s="213">
        <f t="shared" si="17"/>
        <v>2969.8999999999996</v>
      </c>
      <c r="F82" s="214">
        <f t="shared" si="17"/>
        <v>2890.9999999999995</v>
      </c>
      <c r="G82" s="212">
        <f t="shared" si="17"/>
        <v>3224.599999999999</v>
      </c>
      <c r="H82" s="213">
        <f t="shared" si="17"/>
        <v>3189.6999999999994</v>
      </c>
      <c r="I82" s="213">
        <f t="shared" si="17"/>
        <v>3708.5</v>
      </c>
      <c r="J82" s="214">
        <f t="shared" si="17"/>
        <v>3731.8999999999996</v>
      </c>
      <c r="K82" s="213">
        <f t="shared" si="17"/>
        <v>3752.099999999999</v>
      </c>
      <c r="L82" s="213">
        <f t="shared" si="17"/>
        <v>3821.8999999999996</v>
      </c>
      <c r="M82" s="213">
        <f t="shared" si="17"/>
        <v>4111.3000000000011</v>
      </c>
      <c r="N82" s="213">
        <f t="shared" si="17"/>
        <v>4120.9000000000005</v>
      </c>
      <c r="O82" s="212">
        <f t="shared" si="17"/>
        <v>4462.2000000000007</v>
      </c>
      <c r="P82" s="213">
        <f t="shared" si="17"/>
        <v>4452.6000000000013</v>
      </c>
      <c r="Q82" s="213">
        <f t="shared" si="17"/>
        <v>4845.7999999999993</v>
      </c>
      <c r="R82" s="214">
        <f t="shared" si="17"/>
        <v>4817.3999999999996</v>
      </c>
      <c r="S82" s="213">
        <f t="shared" si="17"/>
        <v>4954.2999999999993</v>
      </c>
      <c r="T82" s="213">
        <f t="shared" si="17"/>
        <v>5005.5</v>
      </c>
      <c r="U82" s="213">
        <f t="shared" si="17"/>
        <v>5440.6999999999989</v>
      </c>
      <c r="V82" s="213">
        <f t="shared" si="17"/>
        <v>5435.2</v>
      </c>
      <c r="W82" s="212">
        <f t="shared" si="17"/>
        <v>5879.5000000000009</v>
      </c>
      <c r="X82" s="213">
        <f>SUM(X46,X69,X70)</f>
        <v>6149.5</v>
      </c>
    </row>
    <row r="83" spans="1:25" x14ac:dyDescent="0.2">
      <c r="A83" s="208" t="s">
        <v>687</v>
      </c>
      <c r="B83" s="208" t="s">
        <v>642</v>
      </c>
      <c r="C83" s="212">
        <f t="shared" ref="C83:W83" si="18">SUM(C57,C73,C75)</f>
        <v>62.2</v>
      </c>
      <c r="D83" s="213">
        <f t="shared" si="18"/>
        <v>9</v>
      </c>
      <c r="E83" s="213">
        <f t="shared" si="18"/>
        <v>141.19999999999999</v>
      </c>
      <c r="F83" s="214">
        <f t="shared" si="18"/>
        <v>91.8</v>
      </c>
      <c r="G83" s="212">
        <f t="shared" si="18"/>
        <v>30.7</v>
      </c>
      <c r="H83" s="213">
        <f t="shared" si="18"/>
        <v>58.4</v>
      </c>
      <c r="I83" s="213">
        <f t="shared" si="18"/>
        <v>89.9</v>
      </c>
      <c r="J83" s="214">
        <f t="shared" si="18"/>
        <v>79.7</v>
      </c>
      <c r="K83" s="213">
        <f t="shared" si="18"/>
        <v>0</v>
      </c>
      <c r="L83" s="213">
        <f t="shared" si="18"/>
        <v>63.5</v>
      </c>
      <c r="M83" s="213">
        <f t="shared" si="18"/>
        <v>54.8</v>
      </c>
      <c r="N83" s="213">
        <f t="shared" si="18"/>
        <v>65.5</v>
      </c>
      <c r="O83" s="212">
        <f t="shared" si="18"/>
        <v>55.4</v>
      </c>
      <c r="P83" s="213">
        <f t="shared" si="18"/>
        <v>38.9</v>
      </c>
      <c r="Q83" s="213">
        <f t="shared" si="18"/>
        <v>43.900000000000006</v>
      </c>
      <c r="R83" s="214">
        <f t="shared" si="18"/>
        <v>26.5</v>
      </c>
      <c r="S83" s="213">
        <f t="shared" si="18"/>
        <v>62.1</v>
      </c>
      <c r="T83" s="213">
        <f t="shared" si="18"/>
        <v>84.4</v>
      </c>
      <c r="U83" s="213">
        <f t="shared" si="18"/>
        <v>40.4</v>
      </c>
      <c r="V83" s="213">
        <f t="shared" si="18"/>
        <v>46</v>
      </c>
      <c r="W83" s="212">
        <f t="shared" si="18"/>
        <v>121.6</v>
      </c>
      <c r="X83" s="213">
        <f>SUM(X57,X73,X75)</f>
        <v>149.4</v>
      </c>
    </row>
    <row r="84" spans="1:25" x14ac:dyDescent="0.2">
      <c r="A84" s="178"/>
      <c r="B84" s="178"/>
      <c r="C84" s="215"/>
      <c r="D84" s="216"/>
      <c r="E84" s="216"/>
      <c r="F84" s="217"/>
      <c r="G84" s="215"/>
      <c r="H84" s="216"/>
      <c r="I84" s="216"/>
      <c r="J84" s="217"/>
      <c r="K84" s="216"/>
      <c r="L84" s="216"/>
      <c r="M84" s="216"/>
      <c r="N84" s="216"/>
      <c r="O84" s="215"/>
      <c r="P84" s="216"/>
      <c r="Q84" s="216"/>
      <c r="R84" s="217"/>
      <c r="S84" s="216"/>
      <c r="T84" s="216"/>
      <c r="U84" s="216"/>
      <c r="V84" s="216"/>
      <c r="W84" s="215"/>
      <c r="X84" s="216"/>
    </row>
    <row r="85" spans="1:25" s="370" customFormat="1" ht="21" customHeight="1" x14ac:dyDescent="0.2">
      <c r="A85" s="365" t="s">
        <v>688</v>
      </c>
      <c r="B85" s="365" t="s">
        <v>644</v>
      </c>
      <c r="C85" s="371"/>
      <c r="D85" s="372"/>
      <c r="E85" s="372"/>
      <c r="F85" s="373"/>
      <c r="G85" s="371"/>
      <c r="H85" s="372"/>
      <c r="I85" s="372"/>
      <c r="J85" s="373"/>
      <c r="K85" s="372"/>
      <c r="L85" s="372"/>
      <c r="M85" s="372"/>
      <c r="N85" s="372"/>
      <c r="O85" s="371"/>
      <c r="P85" s="372"/>
      <c r="Q85" s="372"/>
      <c r="R85" s="373"/>
      <c r="S85" s="372"/>
      <c r="T85" s="372"/>
      <c r="U85" s="372"/>
      <c r="V85" s="372"/>
      <c r="W85" s="371"/>
      <c r="X85" s="372"/>
      <c r="Y85" s="369"/>
    </row>
    <row r="86" spans="1:25" ht="22.5" x14ac:dyDescent="0.2">
      <c r="A86" s="221" t="s">
        <v>689</v>
      </c>
      <c r="B86" s="221" t="s">
        <v>645</v>
      </c>
      <c r="C86" s="222" t="str">
        <f t="shared" ref="C86:X92" si="19">C30</f>
        <v>-</v>
      </c>
      <c r="D86" s="223" t="str">
        <f t="shared" si="19"/>
        <v>-</v>
      </c>
      <c r="E86" s="223" t="str">
        <f t="shared" si="19"/>
        <v>-</v>
      </c>
      <c r="F86" s="224" t="str">
        <f t="shared" si="19"/>
        <v>-</v>
      </c>
      <c r="G86" s="218">
        <f t="shared" si="19"/>
        <v>2057.4</v>
      </c>
      <c r="H86" s="219">
        <f t="shared" si="19"/>
        <v>1983.4</v>
      </c>
      <c r="I86" s="219">
        <f t="shared" si="19"/>
        <v>2188.3000000000002</v>
      </c>
      <c r="J86" s="220">
        <f t="shared" si="19"/>
        <v>2580.3000000000002</v>
      </c>
      <c r="K86" s="219">
        <f t="shared" si="19"/>
        <v>2619.3000000000002</v>
      </c>
      <c r="L86" s="219">
        <f t="shared" si="19"/>
        <v>2503.4</v>
      </c>
      <c r="M86" s="219">
        <f t="shared" si="19"/>
        <v>2416</v>
      </c>
      <c r="N86" s="219">
        <f t="shared" si="19"/>
        <v>2432</v>
      </c>
      <c r="O86" s="218">
        <f t="shared" si="19"/>
        <v>2398.1</v>
      </c>
      <c r="P86" s="219">
        <f t="shared" si="19"/>
        <v>2496</v>
      </c>
      <c r="Q86" s="219">
        <f t="shared" si="19"/>
        <v>2581.6</v>
      </c>
      <c r="R86" s="220">
        <f t="shared" si="19"/>
        <v>2581.6</v>
      </c>
      <c r="S86" s="219">
        <f t="shared" si="19"/>
        <v>2725.1</v>
      </c>
      <c r="T86" s="219">
        <f t="shared" si="19"/>
        <v>2806.1</v>
      </c>
      <c r="U86" s="219">
        <f t="shared" si="19"/>
        <v>3056.2</v>
      </c>
      <c r="V86" s="219">
        <f t="shared" si="19"/>
        <v>3176.6</v>
      </c>
      <c r="W86" s="218">
        <f t="shared" si="19"/>
        <v>3414.8</v>
      </c>
      <c r="X86" s="219">
        <f t="shared" si="19"/>
        <v>3345.7000000000003</v>
      </c>
    </row>
    <row r="87" spans="1:25" s="170" customFormat="1" ht="22.5" x14ac:dyDescent="0.2">
      <c r="A87" s="59" t="s">
        <v>700</v>
      </c>
      <c r="B87" s="59" t="s">
        <v>646</v>
      </c>
      <c r="C87" s="141" t="s">
        <v>558</v>
      </c>
      <c r="D87" s="142" t="s">
        <v>558</v>
      </c>
      <c r="E87" s="142" t="s">
        <v>558</v>
      </c>
      <c r="F87" s="142" t="s">
        <v>558</v>
      </c>
      <c r="G87" s="141" t="s">
        <v>558</v>
      </c>
      <c r="H87" s="142" t="s">
        <v>558</v>
      </c>
      <c r="I87" s="142" t="s">
        <v>558</v>
      </c>
      <c r="J87" s="142" t="s">
        <v>558</v>
      </c>
      <c r="K87" s="141" t="s">
        <v>558</v>
      </c>
      <c r="L87" s="142" t="s">
        <v>558</v>
      </c>
      <c r="M87" s="142" t="s">
        <v>558</v>
      </c>
      <c r="N87" s="142" t="s">
        <v>558</v>
      </c>
      <c r="O87" s="141" t="s">
        <v>558</v>
      </c>
      <c r="P87" s="142" t="s">
        <v>558</v>
      </c>
      <c r="Q87" s="142" t="s">
        <v>558</v>
      </c>
      <c r="R87" s="142" t="s">
        <v>558</v>
      </c>
      <c r="S87" s="141" t="s">
        <v>558</v>
      </c>
      <c r="T87" s="142" t="s">
        <v>558</v>
      </c>
      <c r="U87" s="142" t="s">
        <v>558</v>
      </c>
      <c r="V87" s="62">
        <f t="shared" si="19"/>
        <v>329</v>
      </c>
      <c r="W87" s="60">
        <f t="shared" si="19"/>
        <v>285.2</v>
      </c>
      <c r="X87" s="61">
        <f t="shared" si="19"/>
        <v>140.80000000000001</v>
      </c>
      <c r="Y87" s="167"/>
    </row>
    <row r="88" spans="1:25" x14ac:dyDescent="0.2">
      <c r="A88" s="221" t="s">
        <v>690</v>
      </c>
      <c r="B88" s="221" t="s">
        <v>647</v>
      </c>
      <c r="C88" s="222" t="str">
        <f t="shared" ref="C88:U92" si="20">C32</f>
        <v>-</v>
      </c>
      <c r="D88" s="223" t="str">
        <f t="shared" si="20"/>
        <v>-</v>
      </c>
      <c r="E88" s="223" t="str">
        <f t="shared" si="20"/>
        <v>-</v>
      </c>
      <c r="F88" s="224" t="str">
        <f t="shared" si="20"/>
        <v>-</v>
      </c>
      <c r="G88" s="218">
        <f t="shared" si="20"/>
        <v>0</v>
      </c>
      <c r="H88" s="219">
        <f t="shared" si="20"/>
        <v>0</v>
      </c>
      <c r="I88" s="219">
        <f t="shared" si="20"/>
        <v>0.1</v>
      </c>
      <c r="J88" s="220">
        <f t="shared" si="20"/>
        <v>1.3</v>
      </c>
      <c r="K88" s="219">
        <f t="shared" si="20"/>
        <v>1.7</v>
      </c>
      <c r="L88" s="219">
        <f t="shared" si="20"/>
        <v>2.2000000000000002</v>
      </c>
      <c r="M88" s="219">
        <f t="shared" si="20"/>
        <v>2.2000000000000002</v>
      </c>
      <c r="N88" s="219">
        <f t="shared" si="20"/>
        <v>2.2000000000000002</v>
      </c>
      <c r="O88" s="218">
        <f t="shared" si="20"/>
        <v>2.2000000000000002</v>
      </c>
      <c r="P88" s="219">
        <f t="shared" si="20"/>
        <v>4.0999999999999996</v>
      </c>
      <c r="Q88" s="219">
        <f t="shared" si="20"/>
        <v>4.5999999999999996</v>
      </c>
      <c r="R88" s="220">
        <f t="shared" si="20"/>
        <v>5.0999999999999996</v>
      </c>
      <c r="S88" s="219">
        <f t="shared" si="20"/>
        <v>5.6</v>
      </c>
      <c r="T88" s="219">
        <f t="shared" si="20"/>
        <v>6.3</v>
      </c>
      <c r="U88" s="219">
        <f t="shared" si="20"/>
        <v>7.1</v>
      </c>
      <c r="V88" s="219">
        <f t="shared" si="19"/>
        <v>7.9</v>
      </c>
      <c r="W88" s="218">
        <f t="shared" si="19"/>
        <v>8.6999999999999993</v>
      </c>
      <c r="X88" s="219">
        <f t="shared" si="19"/>
        <v>9.4</v>
      </c>
    </row>
    <row r="89" spans="1:25" ht="22.5" x14ac:dyDescent="0.2">
      <c r="A89" s="221" t="s">
        <v>691</v>
      </c>
      <c r="B89" s="221" t="s">
        <v>648</v>
      </c>
      <c r="C89" s="222" t="str">
        <f t="shared" si="20"/>
        <v>-</v>
      </c>
      <c r="D89" s="223" t="str">
        <f t="shared" si="20"/>
        <v>-</v>
      </c>
      <c r="E89" s="223" t="str">
        <f t="shared" si="20"/>
        <v>-</v>
      </c>
      <c r="F89" s="224" t="str">
        <f t="shared" si="20"/>
        <v>-</v>
      </c>
      <c r="G89" s="218">
        <f t="shared" si="20"/>
        <v>13.5</v>
      </c>
      <c r="H89" s="219">
        <f t="shared" si="20"/>
        <v>22.8</v>
      </c>
      <c r="I89" s="219">
        <f t="shared" si="20"/>
        <v>31.6</v>
      </c>
      <c r="J89" s="220">
        <f t="shared" si="20"/>
        <v>27.7</v>
      </c>
      <c r="K89" s="219">
        <f t="shared" si="20"/>
        <v>26.1</v>
      </c>
      <c r="L89" s="219">
        <f t="shared" si="20"/>
        <v>19.3</v>
      </c>
      <c r="M89" s="219">
        <f t="shared" si="20"/>
        <v>13.7</v>
      </c>
      <c r="N89" s="219">
        <f t="shared" si="20"/>
        <v>15.3</v>
      </c>
      <c r="O89" s="218">
        <f t="shared" si="20"/>
        <v>8.6999999999999993</v>
      </c>
      <c r="P89" s="219">
        <f t="shared" si="20"/>
        <v>8.6999999999999993</v>
      </c>
      <c r="Q89" s="219">
        <f t="shared" si="20"/>
        <v>0.4</v>
      </c>
      <c r="R89" s="220">
        <f t="shared" si="20"/>
        <v>1.8</v>
      </c>
      <c r="S89" s="219">
        <f t="shared" si="20"/>
        <v>18</v>
      </c>
      <c r="T89" s="219">
        <f t="shared" si="20"/>
        <v>22.2</v>
      </c>
      <c r="U89" s="219">
        <f t="shared" si="20"/>
        <v>0.2</v>
      </c>
      <c r="V89" s="219">
        <f t="shared" si="19"/>
        <v>0</v>
      </c>
      <c r="W89" s="218">
        <f t="shared" si="19"/>
        <v>0</v>
      </c>
      <c r="X89" s="219">
        <f t="shared" si="19"/>
        <v>11</v>
      </c>
    </row>
    <row r="90" spans="1:25" x14ac:dyDescent="0.2">
      <c r="A90" s="221" t="s">
        <v>692</v>
      </c>
      <c r="B90" s="221" t="s">
        <v>649</v>
      </c>
      <c r="C90" s="222" t="str">
        <f t="shared" si="20"/>
        <v>-</v>
      </c>
      <c r="D90" s="223" t="str">
        <f t="shared" si="20"/>
        <v>-</v>
      </c>
      <c r="E90" s="223" t="str">
        <f t="shared" si="20"/>
        <v>-</v>
      </c>
      <c r="F90" s="224" t="str">
        <f t="shared" si="20"/>
        <v>-</v>
      </c>
      <c r="G90" s="218">
        <f t="shared" si="20"/>
        <v>274.2</v>
      </c>
      <c r="H90" s="219">
        <f t="shared" si="20"/>
        <v>274.2</v>
      </c>
      <c r="I90" s="219">
        <f t="shared" si="20"/>
        <v>274.2</v>
      </c>
      <c r="J90" s="220">
        <f t="shared" si="20"/>
        <v>274.2</v>
      </c>
      <c r="K90" s="219">
        <f t="shared" si="20"/>
        <v>290.8</v>
      </c>
      <c r="L90" s="219">
        <f t="shared" si="20"/>
        <v>290.8</v>
      </c>
      <c r="M90" s="219">
        <f t="shared" si="20"/>
        <v>290.8</v>
      </c>
      <c r="N90" s="219">
        <f t="shared" si="20"/>
        <v>290.8</v>
      </c>
      <c r="O90" s="218">
        <f t="shared" si="20"/>
        <v>326.89999999999998</v>
      </c>
      <c r="P90" s="219">
        <f t="shared" si="20"/>
        <v>326.89999999999998</v>
      </c>
      <c r="Q90" s="219">
        <f t="shared" si="20"/>
        <v>326.89999999999998</v>
      </c>
      <c r="R90" s="220">
        <f t="shared" si="20"/>
        <v>326.89999999999998</v>
      </c>
      <c r="S90" s="219">
        <f t="shared" si="20"/>
        <v>361.7</v>
      </c>
      <c r="T90" s="219">
        <f t="shared" si="20"/>
        <v>361.7</v>
      </c>
      <c r="U90" s="219">
        <f t="shared" si="20"/>
        <v>361.7</v>
      </c>
      <c r="V90" s="219">
        <f t="shared" si="19"/>
        <v>364.6</v>
      </c>
      <c r="W90" s="218">
        <f t="shared" si="19"/>
        <v>405.9</v>
      </c>
      <c r="X90" s="219">
        <f t="shared" si="19"/>
        <v>405.9</v>
      </c>
    </row>
    <row r="91" spans="1:25" x14ac:dyDescent="0.2">
      <c r="A91" s="221" t="s">
        <v>693</v>
      </c>
      <c r="B91" s="221" t="s">
        <v>650</v>
      </c>
      <c r="C91" s="222" t="str">
        <f t="shared" si="20"/>
        <v>-</v>
      </c>
      <c r="D91" s="223" t="str">
        <f t="shared" si="20"/>
        <v>-</v>
      </c>
      <c r="E91" s="223" t="str">
        <f t="shared" si="20"/>
        <v>-</v>
      </c>
      <c r="F91" s="224" t="str">
        <f t="shared" si="20"/>
        <v>-</v>
      </c>
      <c r="G91" s="218">
        <f t="shared" si="20"/>
        <v>17.2</v>
      </c>
      <c r="H91" s="219">
        <f t="shared" si="20"/>
        <v>35.6</v>
      </c>
      <c r="I91" s="219">
        <f t="shared" si="20"/>
        <v>58.3</v>
      </c>
      <c r="J91" s="220">
        <f t="shared" si="20"/>
        <v>52</v>
      </c>
      <c r="K91" s="219">
        <f t="shared" si="20"/>
        <v>33.9</v>
      </c>
      <c r="L91" s="219">
        <f t="shared" si="20"/>
        <v>44.3</v>
      </c>
      <c r="M91" s="219">
        <f t="shared" si="20"/>
        <v>39</v>
      </c>
      <c r="N91" s="219">
        <f t="shared" si="20"/>
        <v>48</v>
      </c>
      <c r="O91" s="218">
        <f t="shared" si="20"/>
        <v>44.5</v>
      </c>
      <c r="P91" s="219">
        <f t="shared" si="20"/>
        <v>26.1</v>
      </c>
      <c r="Q91" s="219">
        <f t="shared" si="20"/>
        <v>27.2</v>
      </c>
      <c r="R91" s="220">
        <f t="shared" si="20"/>
        <v>19.7</v>
      </c>
      <c r="S91" s="219">
        <f t="shared" si="20"/>
        <v>38.4</v>
      </c>
      <c r="T91" s="219">
        <f t="shared" si="20"/>
        <v>31.3</v>
      </c>
      <c r="U91" s="219">
        <f t="shared" si="20"/>
        <v>33.200000000000003</v>
      </c>
      <c r="V91" s="219">
        <f t="shared" si="19"/>
        <v>24.8</v>
      </c>
      <c r="W91" s="218">
        <f t="shared" si="19"/>
        <v>32.9</v>
      </c>
      <c r="X91" s="219">
        <f t="shared" si="19"/>
        <v>21.7</v>
      </c>
    </row>
    <row r="92" spans="1:25" x14ac:dyDescent="0.2">
      <c r="A92" s="221" t="s">
        <v>694</v>
      </c>
      <c r="B92" s="221" t="s">
        <v>651</v>
      </c>
      <c r="C92" s="222" t="str">
        <f t="shared" si="20"/>
        <v>-</v>
      </c>
      <c r="D92" s="223" t="str">
        <f t="shared" si="20"/>
        <v>-</v>
      </c>
      <c r="E92" s="223" t="str">
        <f t="shared" si="20"/>
        <v>-</v>
      </c>
      <c r="F92" s="224" t="str">
        <f t="shared" si="20"/>
        <v>-</v>
      </c>
      <c r="G92" s="218">
        <f t="shared" si="20"/>
        <v>0</v>
      </c>
      <c r="H92" s="219">
        <f t="shared" si="20"/>
        <v>0</v>
      </c>
      <c r="I92" s="219">
        <f t="shared" si="20"/>
        <v>0</v>
      </c>
      <c r="J92" s="220">
        <f t="shared" si="20"/>
        <v>0</v>
      </c>
      <c r="K92" s="219">
        <f t="shared" si="20"/>
        <v>0</v>
      </c>
      <c r="L92" s="219">
        <f t="shared" si="20"/>
        <v>0</v>
      </c>
      <c r="M92" s="219">
        <f t="shared" si="20"/>
        <v>0</v>
      </c>
      <c r="N92" s="219">
        <f t="shared" si="20"/>
        <v>0</v>
      </c>
      <c r="O92" s="218">
        <f t="shared" si="20"/>
        <v>0</v>
      </c>
      <c r="P92" s="219">
        <f t="shared" si="20"/>
        <v>0</v>
      </c>
      <c r="Q92" s="219">
        <f t="shared" si="20"/>
        <v>0</v>
      </c>
      <c r="R92" s="220">
        <f t="shared" si="20"/>
        <v>12</v>
      </c>
      <c r="S92" s="219">
        <f t="shared" si="20"/>
        <v>1.2</v>
      </c>
      <c r="T92" s="219">
        <f t="shared" si="20"/>
        <v>0.9</v>
      </c>
      <c r="U92" s="219">
        <f t="shared" si="20"/>
        <v>33.4</v>
      </c>
      <c r="V92" s="219">
        <f t="shared" si="19"/>
        <v>0</v>
      </c>
      <c r="W92" s="218">
        <f t="shared" si="19"/>
        <v>0</v>
      </c>
      <c r="X92" s="219">
        <f t="shared" si="19"/>
        <v>0</v>
      </c>
    </row>
    <row r="93" spans="1:25" ht="13.5" thickBot="1" x14ac:dyDescent="0.25">
      <c r="A93" s="221"/>
      <c r="B93" s="221"/>
      <c r="C93" s="222"/>
      <c r="D93" s="223"/>
      <c r="E93" s="223"/>
      <c r="F93" s="224"/>
      <c r="G93" s="218"/>
      <c r="H93" s="219"/>
      <c r="I93" s="219"/>
      <c r="J93" s="220"/>
      <c r="K93" s="219"/>
      <c r="L93" s="219"/>
      <c r="M93" s="219"/>
      <c r="N93" s="219"/>
      <c r="O93" s="218"/>
      <c r="P93" s="219"/>
      <c r="Q93" s="219"/>
      <c r="R93" s="220"/>
      <c r="S93" s="219"/>
      <c r="T93" s="219"/>
      <c r="U93" s="219"/>
      <c r="V93" s="219"/>
      <c r="W93" s="218"/>
      <c r="X93" s="219"/>
    </row>
    <row r="94" spans="1:25" ht="24.75" thickBot="1" x14ac:dyDescent="0.25">
      <c r="A94" s="361" t="s">
        <v>701</v>
      </c>
      <c r="B94" s="361" t="s">
        <v>652</v>
      </c>
      <c r="C94" s="362" t="s">
        <v>558</v>
      </c>
      <c r="D94" s="363" t="s">
        <v>558</v>
      </c>
      <c r="E94" s="363" t="s">
        <v>558</v>
      </c>
      <c r="F94" s="364" t="s">
        <v>558</v>
      </c>
      <c r="G94" s="362" t="s">
        <v>558</v>
      </c>
      <c r="H94" s="363" t="s">
        <v>558</v>
      </c>
      <c r="I94" s="363" t="s">
        <v>558</v>
      </c>
      <c r="J94" s="364" t="s">
        <v>558</v>
      </c>
      <c r="K94" s="363" t="s">
        <v>558</v>
      </c>
      <c r="L94" s="363" t="s">
        <v>558</v>
      </c>
      <c r="M94" s="363" t="s">
        <v>558</v>
      </c>
      <c r="N94" s="363" t="s">
        <v>558</v>
      </c>
      <c r="O94" s="362" t="s">
        <v>558</v>
      </c>
      <c r="P94" s="363" t="s">
        <v>558</v>
      </c>
      <c r="Q94" s="363" t="s">
        <v>558</v>
      </c>
      <c r="R94" s="364" t="s">
        <v>558</v>
      </c>
      <c r="S94" s="363" t="s">
        <v>558</v>
      </c>
      <c r="T94" s="363" t="s">
        <v>558</v>
      </c>
      <c r="U94" s="363" t="s">
        <v>558</v>
      </c>
      <c r="V94" s="363">
        <f t="shared" ref="V94:W94" si="21">SUM(V86,V88:V92)-V87</f>
        <v>3244.9</v>
      </c>
      <c r="W94" s="362">
        <f t="shared" si="21"/>
        <v>3577.1000000000004</v>
      </c>
      <c r="X94" s="363">
        <f>SUM(X86,X88:X92)-X87</f>
        <v>3652.9</v>
      </c>
    </row>
    <row r="95" spans="1:25" ht="13.5" thickBot="1" x14ac:dyDescent="0.25">
      <c r="A95" s="225"/>
      <c r="B95" s="225"/>
      <c r="C95" s="218"/>
      <c r="D95" s="219"/>
      <c r="E95" s="219"/>
      <c r="F95" s="220"/>
      <c r="G95" s="218"/>
      <c r="H95" s="219"/>
      <c r="I95" s="219"/>
      <c r="J95" s="220"/>
      <c r="K95" s="219"/>
      <c r="L95" s="219"/>
      <c r="M95" s="219"/>
      <c r="N95" s="219"/>
      <c r="O95" s="218"/>
      <c r="P95" s="219"/>
      <c r="Q95" s="219"/>
      <c r="R95" s="220"/>
      <c r="S95" s="219"/>
      <c r="T95" s="219"/>
      <c r="U95" s="219"/>
      <c r="V95" s="219"/>
      <c r="W95" s="218"/>
      <c r="X95" s="219"/>
    </row>
    <row r="96" spans="1:25" ht="24.75" thickBot="1" x14ac:dyDescent="0.25">
      <c r="A96" s="361" t="s">
        <v>702</v>
      </c>
      <c r="B96" s="361" t="s">
        <v>653</v>
      </c>
      <c r="C96" s="362">
        <f>C37</f>
        <v>1678.5</v>
      </c>
      <c r="D96" s="363">
        <f t="shared" ref="D96:F96" si="22">D37</f>
        <v>1792.3</v>
      </c>
      <c r="E96" s="363">
        <f t="shared" si="22"/>
        <v>1907</v>
      </c>
      <c r="F96" s="364">
        <f t="shared" si="22"/>
        <v>1819.4</v>
      </c>
      <c r="G96" s="362">
        <f t="shared" ref="G96:W96" si="23">SUM(G86,G88:G92)</f>
        <v>2362.2999999999997</v>
      </c>
      <c r="H96" s="363">
        <f t="shared" si="23"/>
        <v>2316</v>
      </c>
      <c r="I96" s="363">
        <f t="shared" si="23"/>
        <v>2552.5</v>
      </c>
      <c r="J96" s="364">
        <f t="shared" si="23"/>
        <v>2935.5</v>
      </c>
      <c r="K96" s="363">
        <f t="shared" si="23"/>
        <v>2971.8</v>
      </c>
      <c r="L96" s="363">
        <f t="shared" si="23"/>
        <v>2860.0000000000005</v>
      </c>
      <c r="M96" s="363">
        <f t="shared" si="23"/>
        <v>2761.7</v>
      </c>
      <c r="N96" s="363">
        <f t="shared" si="23"/>
        <v>2788.3</v>
      </c>
      <c r="O96" s="362">
        <f t="shared" si="23"/>
        <v>2780.3999999999996</v>
      </c>
      <c r="P96" s="363">
        <f t="shared" si="23"/>
        <v>2861.7999999999997</v>
      </c>
      <c r="Q96" s="363">
        <f t="shared" si="23"/>
        <v>2940.7</v>
      </c>
      <c r="R96" s="364">
        <f t="shared" si="23"/>
        <v>2947.1</v>
      </c>
      <c r="S96" s="363">
        <f t="shared" si="23"/>
        <v>3149.9999999999995</v>
      </c>
      <c r="T96" s="363">
        <f t="shared" si="23"/>
        <v>3228.5</v>
      </c>
      <c r="U96" s="363">
        <f t="shared" si="23"/>
        <v>3491.7999999999993</v>
      </c>
      <c r="V96" s="363">
        <f t="shared" si="23"/>
        <v>3573.9</v>
      </c>
      <c r="W96" s="362">
        <f t="shared" si="23"/>
        <v>3862.3</v>
      </c>
      <c r="X96" s="363">
        <f>SUM(X86,X88:X92)</f>
        <v>3793.7000000000003</v>
      </c>
    </row>
    <row r="97" spans="1:25" x14ac:dyDescent="0.2">
      <c r="A97" s="225"/>
      <c r="B97" s="225"/>
      <c r="C97" s="218"/>
      <c r="D97" s="219"/>
      <c r="E97" s="219"/>
      <c r="F97" s="220"/>
      <c r="G97" s="218"/>
      <c r="H97" s="219"/>
      <c r="I97" s="219"/>
      <c r="J97" s="220"/>
      <c r="K97" s="219"/>
      <c r="L97" s="219"/>
      <c r="M97" s="219"/>
      <c r="N97" s="219"/>
      <c r="O97" s="218"/>
      <c r="P97" s="219"/>
      <c r="Q97" s="219"/>
      <c r="R97" s="220"/>
      <c r="S97" s="219"/>
      <c r="T97" s="219"/>
      <c r="U97" s="219"/>
      <c r="V97" s="219"/>
      <c r="W97" s="218"/>
      <c r="X97" s="219"/>
    </row>
    <row r="98" spans="1:25" x14ac:dyDescent="0.2">
      <c r="A98" s="226" t="s">
        <v>703</v>
      </c>
      <c r="B98" s="226" t="s">
        <v>654</v>
      </c>
      <c r="C98" s="227">
        <f>C100</f>
        <v>0.13739999999999999</v>
      </c>
      <c r="D98" s="228">
        <f t="shared" ref="D98:U98" si="24">D100</f>
        <v>0.1341</v>
      </c>
      <c r="E98" s="228">
        <f t="shared" si="24"/>
        <v>0.1305</v>
      </c>
      <c r="F98" s="229">
        <f t="shared" si="24"/>
        <v>0.13120000000000001</v>
      </c>
      <c r="G98" s="227">
        <f t="shared" si="24"/>
        <v>0.11020000000000001</v>
      </c>
      <c r="H98" s="228">
        <f t="shared" si="24"/>
        <v>0.11219999999999999</v>
      </c>
      <c r="I98" s="228">
        <f t="shared" si="24"/>
        <v>0.11899999999999999</v>
      </c>
      <c r="J98" s="229">
        <f t="shared" si="24"/>
        <v>0.10390000000000001</v>
      </c>
      <c r="K98" s="228">
        <f t="shared" si="24"/>
        <v>0.10100000000000001</v>
      </c>
      <c r="L98" s="228">
        <f t="shared" si="24"/>
        <v>0.1087</v>
      </c>
      <c r="M98" s="228">
        <f t="shared" si="24"/>
        <v>0.1207</v>
      </c>
      <c r="N98" s="228">
        <f t="shared" si="24"/>
        <v>0.1201</v>
      </c>
      <c r="O98" s="227">
        <f t="shared" si="24"/>
        <v>0.13</v>
      </c>
      <c r="P98" s="228">
        <f t="shared" si="24"/>
        <v>0.12559999999999999</v>
      </c>
      <c r="Q98" s="228">
        <f t="shared" si="24"/>
        <v>0.13300000000000001</v>
      </c>
      <c r="R98" s="229">
        <f t="shared" si="24"/>
        <v>0.13150000000000001</v>
      </c>
      <c r="S98" s="228">
        <f t="shared" si="24"/>
        <v>0.12740000000000001</v>
      </c>
      <c r="T98" s="228">
        <f t="shared" si="24"/>
        <v>0.12609999999999999</v>
      </c>
      <c r="U98" s="228">
        <f t="shared" si="24"/>
        <v>0.12559999999999999</v>
      </c>
      <c r="V98" s="228">
        <f t="shared" ref="V98:W98" si="25">ROUND(V77/(V96*12.5),4)</f>
        <v>0.1192</v>
      </c>
      <c r="W98" s="227">
        <f t="shared" si="25"/>
        <v>0.1211</v>
      </c>
      <c r="X98" s="228">
        <f>ROUND(X77/(X96*12.5),4)</f>
        <v>0.1298</v>
      </c>
    </row>
    <row r="99" spans="1:25" x14ac:dyDescent="0.2">
      <c r="A99" s="326" t="s">
        <v>705</v>
      </c>
      <c r="B99" s="226" t="s">
        <v>655</v>
      </c>
      <c r="C99" s="227" t="s">
        <v>558</v>
      </c>
      <c r="D99" s="228" t="s">
        <v>558</v>
      </c>
      <c r="E99" s="228" t="s">
        <v>558</v>
      </c>
      <c r="F99" s="229" t="s">
        <v>558</v>
      </c>
      <c r="G99" s="227" t="s">
        <v>558</v>
      </c>
      <c r="H99" s="228" t="s">
        <v>558</v>
      </c>
      <c r="I99" s="228" t="s">
        <v>558</v>
      </c>
      <c r="J99" s="229" t="s">
        <v>558</v>
      </c>
      <c r="K99" s="228" t="s">
        <v>558</v>
      </c>
      <c r="L99" s="228" t="s">
        <v>558</v>
      </c>
      <c r="M99" s="228" t="s">
        <v>558</v>
      </c>
      <c r="N99" s="228" t="s">
        <v>558</v>
      </c>
      <c r="O99" s="227" t="s">
        <v>558</v>
      </c>
      <c r="P99" s="228" t="s">
        <v>558</v>
      </c>
      <c r="Q99" s="228" t="s">
        <v>558</v>
      </c>
      <c r="R99" s="229" t="s">
        <v>558</v>
      </c>
      <c r="S99" s="228" t="s">
        <v>558</v>
      </c>
      <c r="T99" s="228" t="s">
        <v>558</v>
      </c>
      <c r="U99" s="228" t="s">
        <v>558</v>
      </c>
      <c r="V99" s="228">
        <f t="shared" ref="V99:W99" si="26">ROUND(V77/(V94*12.5),4)</f>
        <v>0.1313</v>
      </c>
      <c r="W99" s="227">
        <f t="shared" si="26"/>
        <v>0.13070000000000001</v>
      </c>
      <c r="X99" s="228">
        <f>ROUND(X77/(X94*12.5),4)</f>
        <v>0.13489999999999999</v>
      </c>
    </row>
    <row r="100" spans="1:25" x14ac:dyDescent="0.2">
      <c r="A100" s="226" t="s">
        <v>704</v>
      </c>
      <c r="B100" s="226" t="s">
        <v>656</v>
      </c>
      <c r="C100" s="227">
        <f t="shared" ref="C100:W100" si="27">ROUND(C81/(C96*12.5),4)</f>
        <v>0.13739999999999999</v>
      </c>
      <c r="D100" s="228">
        <f t="shared" si="27"/>
        <v>0.1341</v>
      </c>
      <c r="E100" s="228">
        <f t="shared" si="27"/>
        <v>0.1305</v>
      </c>
      <c r="F100" s="229">
        <f t="shared" si="27"/>
        <v>0.13120000000000001</v>
      </c>
      <c r="G100" s="227">
        <f t="shared" si="27"/>
        <v>0.11020000000000001</v>
      </c>
      <c r="H100" s="228">
        <f t="shared" si="27"/>
        <v>0.11219999999999999</v>
      </c>
      <c r="I100" s="228">
        <f t="shared" si="27"/>
        <v>0.11899999999999999</v>
      </c>
      <c r="J100" s="229">
        <f t="shared" si="27"/>
        <v>0.10390000000000001</v>
      </c>
      <c r="K100" s="228">
        <f t="shared" si="27"/>
        <v>0.10100000000000001</v>
      </c>
      <c r="L100" s="228">
        <f t="shared" si="27"/>
        <v>0.1087</v>
      </c>
      <c r="M100" s="228">
        <f t="shared" si="27"/>
        <v>0.1207</v>
      </c>
      <c r="N100" s="228">
        <f t="shared" si="27"/>
        <v>0.1201</v>
      </c>
      <c r="O100" s="227">
        <f t="shared" si="27"/>
        <v>0.13</v>
      </c>
      <c r="P100" s="228">
        <f t="shared" si="27"/>
        <v>0.12559999999999999</v>
      </c>
      <c r="Q100" s="228">
        <f t="shared" si="27"/>
        <v>0.13300000000000001</v>
      </c>
      <c r="R100" s="229">
        <f t="shared" si="27"/>
        <v>0.13150000000000001</v>
      </c>
      <c r="S100" s="228">
        <f t="shared" si="27"/>
        <v>0.12740000000000001</v>
      </c>
      <c r="T100" s="228">
        <f t="shared" si="27"/>
        <v>0.12609999999999999</v>
      </c>
      <c r="U100" s="228">
        <f t="shared" si="27"/>
        <v>0.12559999999999999</v>
      </c>
      <c r="V100" s="228">
        <f t="shared" si="27"/>
        <v>0.1227</v>
      </c>
      <c r="W100" s="227">
        <f t="shared" si="27"/>
        <v>0.12429999999999999</v>
      </c>
      <c r="X100" s="228">
        <f>ROUND(X81/(X96*12.5),4)</f>
        <v>0.1328</v>
      </c>
    </row>
    <row r="101" spans="1:25" x14ac:dyDescent="0.2">
      <c r="A101" s="180"/>
      <c r="B101" s="180"/>
      <c r="C101" s="179"/>
      <c r="D101" s="180"/>
      <c r="E101" s="180"/>
      <c r="F101" s="181"/>
      <c r="G101" s="179"/>
      <c r="H101" s="180"/>
      <c r="I101" s="180"/>
      <c r="J101" s="181"/>
      <c r="K101" s="180"/>
      <c r="L101" s="180"/>
      <c r="M101" s="180"/>
      <c r="N101" s="180"/>
      <c r="O101" s="179"/>
      <c r="P101" s="180"/>
      <c r="Q101" s="180"/>
      <c r="R101" s="181"/>
      <c r="S101" s="180"/>
      <c r="T101" s="180"/>
      <c r="U101" s="180"/>
      <c r="V101" s="180"/>
      <c r="W101" s="179"/>
      <c r="X101" s="180"/>
    </row>
    <row r="102" spans="1:25" s="234" customFormat="1" ht="12" x14ac:dyDescent="0.2">
      <c r="A102" s="230" t="s">
        <v>706</v>
      </c>
      <c r="B102" s="230" t="s">
        <v>657</v>
      </c>
      <c r="C102" s="231">
        <f>C104</f>
        <v>0.13450000000000001</v>
      </c>
      <c r="D102" s="231">
        <f t="shared" ref="D102:U102" si="28">D104</f>
        <v>0.13370000000000001</v>
      </c>
      <c r="E102" s="231">
        <f t="shared" si="28"/>
        <v>0.1246</v>
      </c>
      <c r="F102" s="232">
        <f t="shared" si="28"/>
        <v>0.12709999999999999</v>
      </c>
      <c r="G102" s="231">
        <f t="shared" si="28"/>
        <v>0.10920000000000001</v>
      </c>
      <c r="H102" s="231">
        <f t="shared" si="28"/>
        <v>0.11020000000000001</v>
      </c>
      <c r="I102" s="231">
        <f t="shared" si="28"/>
        <v>0.1162</v>
      </c>
      <c r="J102" s="232">
        <f t="shared" si="28"/>
        <v>0.1017</v>
      </c>
      <c r="K102" s="233">
        <f t="shared" si="28"/>
        <v>0.10100000000000001</v>
      </c>
      <c r="L102" s="231">
        <f t="shared" si="28"/>
        <v>0.1069</v>
      </c>
      <c r="M102" s="231">
        <f t="shared" si="28"/>
        <v>0.1191</v>
      </c>
      <c r="N102" s="231">
        <f t="shared" si="28"/>
        <v>0.1182</v>
      </c>
      <c r="O102" s="231">
        <f t="shared" si="28"/>
        <v>0.12839999999999999</v>
      </c>
      <c r="P102" s="231">
        <f t="shared" si="28"/>
        <v>0.1245</v>
      </c>
      <c r="Q102" s="231">
        <f t="shared" si="28"/>
        <v>0.1318</v>
      </c>
      <c r="R102" s="232">
        <f t="shared" si="28"/>
        <v>0.1308</v>
      </c>
      <c r="S102" s="233">
        <f t="shared" si="28"/>
        <v>0.1258</v>
      </c>
      <c r="T102" s="231">
        <f t="shared" si="28"/>
        <v>0.124</v>
      </c>
      <c r="U102" s="231">
        <f t="shared" si="28"/>
        <v>0.12470000000000001</v>
      </c>
      <c r="V102" s="231">
        <f t="shared" ref="V102:W102" si="29">ROUND(V78/(V96*12.5),4)</f>
        <v>0.11849999999999999</v>
      </c>
      <c r="W102" s="231">
        <f t="shared" si="29"/>
        <v>0.1202</v>
      </c>
      <c r="X102" s="233">
        <f>ROUND(X78/(X96*12.5),4)</f>
        <v>0.12820000000000001</v>
      </c>
      <c r="Y102" s="167"/>
    </row>
    <row r="103" spans="1:25" s="234" customFormat="1" ht="12" x14ac:dyDescent="0.2">
      <c r="A103" s="230" t="s">
        <v>708</v>
      </c>
      <c r="B103" s="230" t="s">
        <v>658</v>
      </c>
      <c r="C103" s="227" t="s">
        <v>558</v>
      </c>
      <c r="D103" s="228" t="s">
        <v>558</v>
      </c>
      <c r="E103" s="228" t="s">
        <v>558</v>
      </c>
      <c r="F103" s="229" t="s">
        <v>558</v>
      </c>
      <c r="G103" s="227" t="s">
        <v>558</v>
      </c>
      <c r="H103" s="228" t="s">
        <v>558</v>
      </c>
      <c r="I103" s="228" t="s">
        <v>558</v>
      </c>
      <c r="J103" s="229" t="s">
        <v>558</v>
      </c>
      <c r="K103" s="228" t="s">
        <v>558</v>
      </c>
      <c r="L103" s="228" t="s">
        <v>558</v>
      </c>
      <c r="M103" s="228" t="s">
        <v>558</v>
      </c>
      <c r="N103" s="228" t="s">
        <v>558</v>
      </c>
      <c r="O103" s="227" t="s">
        <v>558</v>
      </c>
      <c r="P103" s="228" t="s">
        <v>558</v>
      </c>
      <c r="Q103" s="228" t="s">
        <v>558</v>
      </c>
      <c r="R103" s="229" t="s">
        <v>558</v>
      </c>
      <c r="S103" s="228" t="s">
        <v>558</v>
      </c>
      <c r="T103" s="228" t="s">
        <v>558</v>
      </c>
      <c r="U103" s="228" t="s">
        <v>558</v>
      </c>
      <c r="V103" s="231">
        <f t="shared" ref="V103:W103" si="30">ROUND(V78/(V94*12.5),4)</f>
        <v>0.1305</v>
      </c>
      <c r="W103" s="231">
        <f t="shared" si="30"/>
        <v>0.1298</v>
      </c>
      <c r="X103" s="233">
        <f>ROUND(X78/(X94*12.5),4)</f>
        <v>0.1331</v>
      </c>
      <c r="Y103" s="167"/>
    </row>
    <row r="104" spans="1:25" s="234" customFormat="1" ht="12" x14ac:dyDescent="0.2">
      <c r="A104" s="330" t="s">
        <v>707</v>
      </c>
      <c r="B104" s="230" t="s">
        <v>659</v>
      </c>
      <c r="C104" s="231">
        <f t="shared" ref="C104:W104" si="31">ROUND(C82/(C96*12.5),4)</f>
        <v>0.13450000000000001</v>
      </c>
      <c r="D104" s="231">
        <f t="shared" si="31"/>
        <v>0.13370000000000001</v>
      </c>
      <c r="E104" s="231">
        <f t="shared" si="31"/>
        <v>0.1246</v>
      </c>
      <c r="F104" s="232">
        <f t="shared" si="31"/>
        <v>0.12709999999999999</v>
      </c>
      <c r="G104" s="231">
        <f t="shared" si="31"/>
        <v>0.10920000000000001</v>
      </c>
      <c r="H104" s="231">
        <f t="shared" si="31"/>
        <v>0.11020000000000001</v>
      </c>
      <c r="I104" s="231">
        <f t="shared" si="31"/>
        <v>0.1162</v>
      </c>
      <c r="J104" s="232">
        <f t="shared" si="31"/>
        <v>0.1017</v>
      </c>
      <c r="K104" s="233">
        <f t="shared" si="31"/>
        <v>0.10100000000000001</v>
      </c>
      <c r="L104" s="231">
        <f t="shared" si="31"/>
        <v>0.1069</v>
      </c>
      <c r="M104" s="231">
        <f t="shared" si="31"/>
        <v>0.1191</v>
      </c>
      <c r="N104" s="231">
        <f t="shared" si="31"/>
        <v>0.1182</v>
      </c>
      <c r="O104" s="231">
        <f t="shared" si="31"/>
        <v>0.12839999999999999</v>
      </c>
      <c r="P104" s="231">
        <f t="shared" si="31"/>
        <v>0.1245</v>
      </c>
      <c r="Q104" s="231">
        <f t="shared" si="31"/>
        <v>0.1318</v>
      </c>
      <c r="R104" s="232">
        <f t="shared" si="31"/>
        <v>0.1308</v>
      </c>
      <c r="S104" s="233">
        <f t="shared" si="31"/>
        <v>0.1258</v>
      </c>
      <c r="T104" s="231">
        <f t="shared" si="31"/>
        <v>0.124</v>
      </c>
      <c r="U104" s="231">
        <f t="shared" si="31"/>
        <v>0.12470000000000001</v>
      </c>
      <c r="V104" s="231">
        <f t="shared" si="31"/>
        <v>0.1217</v>
      </c>
      <c r="W104" s="231">
        <f t="shared" si="31"/>
        <v>0.12180000000000001</v>
      </c>
      <c r="X104" s="233">
        <f>ROUND(X82/(X96*12.5),4)</f>
        <v>0.12970000000000001</v>
      </c>
      <c r="Y104" s="167"/>
    </row>
    <row r="107" spans="1:25" x14ac:dyDescent="0.2">
      <c r="C107" s="235"/>
      <c r="D107" s="235"/>
      <c r="E107" s="235"/>
      <c r="F107" s="235"/>
      <c r="G107" s="235"/>
      <c r="H107" s="235"/>
      <c r="I107" s="235"/>
      <c r="J107" s="235"/>
      <c r="K107" s="235"/>
      <c r="L107" s="235"/>
      <c r="M107" s="235"/>
      <c r="N107" s="235"/>
      <c r="O107" s="235"/>
      <c r="P107" s="235"/>
      <c r="Q107" s="235"/>
      <c r="R107" s="235"/>
      <c r="S107" s="235"/>
      <c r="T107" s="235"/>
      <c r="U107" s="235"/>
    </row>
    <row r="110" spans="1:25" x14ac:dyDescent="0.2">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row>
  </sheetData>
  <mergeCells count="8">
    <mergeCell ref="S10:V10"/>
    <mergeCell ref="W10:X10"/>
    <mergeCell ref="A10:A11"/>
    <mergeCell ref="B10:B11"/>
    <mergeCell ref="C10:F10"/>
    <mergeCell ref="G10:J10"/>
    <mergeCell ref="K10:N10"/>
    <mergeCell ref="O10:R10"/>
  </mergeCells>
  <pageMargins left="0.25" right="0.25" top="0.75" bottom="0.75" header="0.3" footer="0.3"/>
  <pageSetup paperSize="9" scale="43" orientation="landscape" r:id="rId1"/>
  <rowBreaks count="1" manualBreakCount="1">
    <brk id="41"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2"/>
  <sheetViews>
    <sheetView showGridLines="0" view="pageBreakPreview" topLeftCell="A85" zoomScaleNormal="90" zoomScaleSheetLayoutView="100" workbookViewId="0">
      <selection activeCell="A96" sqref="A96"/>
    </sheetView>
  </sheetViews>
  <sheetFormatPr defaultColWidth="9.140625" defaultRowHeight="12.75" outlineLevelCol="1" x14ac:dyDescent="0.2"/>
  <cols>
    <col min="1" max="1" customWidth="true" style="240" width="69.42578125" collapsed="true"/>
    <col min="2" max="2" customWidth="true" hidden="true" style="240" width="69.42578125" collapsed="true" outlineLevel="1"/>
    <col min="3" max="3" style="240" width="9.140625" collapsed="true"/>
    <col min="4" max="24" style="240" width="9.140625" collapsed="true"/>
    <col min="25" max="25" bestFit="true" customWidth="true" style="239" width="13.7109375" collapsed="true"/>
    <col min="26" max="16384" style="240" width="9.140625" collapsed="true"/>
  </cols>
  <sheetData>
    <row r="1" spans="1:25" x14ac:dyDescent="0.2">
      <c r="A1" s="236"/>
      <c r="B1" s="236"/>
      <c r="C1" s="237"/>
      <c r="D1" s="237"/>
      <c r="E1" s="237"/>
      <c r="F1" s="237"/>
      <c r="G1" s="237"/>
      <c r="H1" s="237"/>
      <c r="I1" s="237"/>
      <c r="J1" s="237"/>
      <c r="K1" s="238"/>
      <c r="L1" s="238"/>
      <c r="M1" s="238"/>
      <c r="N1" s="238"/>
      <c r="O1" s="238"/>
      <c r="P1" s="238"/>
      <c r="Q1" s="238"/>
      <c r="R1" s="238"/>
      <c r="S1" s="238"/>
      <c r="T1" s="238"/>
      <c r="U1" s="238"/>
      <c r="V1" s="238"/>
      <c r="W1" s="238"/>
      <c r="X1" s="238"/>
    </row>
    <row r="2" spans="1:25" x14ac:dyDescent="0.2">
      <c r="A2" s="236"/>
      <c r="B2" s="236"/>
      <c r="C2" s="237"/>
      <c r="D2" s="237"/>
      <c r="E2" s="237"/>
      <c r="F2" s="237"/>
      <c r="G2" s="237"/>
      <c r="H2" s="237"/>
      <c r="I2" s="237"/>
      <c r="J2" s="237"/>
      <c r="K2" s="238"/>
      <c r="L2" s="238"/>
      <c r="M2" s="238"/>
      <c r="N2" s="238"/>
      <c r="O2" s="238"/>
      <c r="P2" s="238"/>
      <c r="Q2" s="238"/>
      <c r="R2" s="238"/>
      <c r="S2" s="238"/>
      <c r="T2" s="238"/>
      <c r="U2" s="238"/>
      <c r="V2" s="238"/>
      <c r="W2" s="238"/>
      <c r="X2" s="238"/>
    </row>
    <row r="3" spans="1:25" x14ac:dyDescent="0.2">
      <c r="A3" s="110" t="s">
        <v>730</v>
      </c>
      <c r="B3" s="110" t="s">
        <v>729</v>
      </c>
      <c r="C3" s="237"/>
      <c r="D3" s="237"/>
      <c r="E3" s="237"/>
      <c r="F3" s="237"/>
      <c r="G3" s="237"/>
      <c r="H3" s="237"/>
      <c r="I3" s="237"/>
      <c r="J3" s="237"/>
      <c r="K3" s="238"/>
      <c r="L3" s="238"/>
      <c r="M3" s="238"/>
      <c r="N3" s="238"/>
      <c r="O3" s="238"/>
      <c r="P3" s="238"/>
      <c r="Q3" s="238"/>
      <c r="R3" s="238"/>
      <c r="S3" s="238"/>
      <c r="T3" s="238"/>
      <c r="U3" s="238"/>
      <c r="V3" s="238"/>
      <c r="W3" s="238"/>
      <c r="X3" s="238"/>
    </row>
    <row r="4" spans="1:25" x14ac:dyDescent="0.2">
      <c r="A4" s="236"/>
      <c r="B4" s="236"/>
      <c r="C4" s="237"/>
      <c r="D4" s="237"/>
      <c r="E4" s="237"/>
      <c r="F4" s="237"/>
      <c r="G4" s="237"/>
      <c r="H4" s="237"/>
      <c r="I4" s="237"/>
      <c r="J4" s="237"/>
      <c r="K4" s="238"/>
      <c r="L4" s="238"/>
      <c r="M4" s="238"/>
      <c r="N4" s="238"/>
      <c r="O4" s="238"/>
      <c r="P4" s="238"/>
      <c r="Q4" s="238"/>
      <c r="R4" s="238"/>
      <c r="S4" s="238"/>
      <c r="T4" s="238"/>
      <c r="U4" s="238"/>
      <c r="V4" s="238"/>
      <c r="W4" s="238"/>
      <c r="X4" s="238"/>
    </row>
    <row r="5" spans="1:25" x14ac:dyDescent="0.2">
      <c r="A5" s="236"/>
      <c r="B5" s="236"/>
      <c r="C5" s="237"/>
      <c r="D5" s="237"/>
      <c r="E5" s="237"/>
      <c r="F5" s="237"/>
      <c r="G5" s="237"/>
      <c r="H5" s="237"/>
      <c r="I5" s="237"/>
      <c r="J5" s="237"/>
      <c r="K5" s="238"/>
      <c r="L5" s="238"/>
      <c r="M5" s="238"/>
      <c r="N5" s="238"/>
      <c r="O5" s="238"/>
      <c r="P5" s="238"/>
      <c r="Q5" s="238"/>
      <c r="R5" s="238"/>
      <c r="S5" s="238"/>
      <c r="T5" s="238"/>
      <c r="U5" s="238"/>
      <c r="V5" s="238"/>
      <c r="W5" s="238"/>
      <c r="X5" s="238"/>
    </row>
    <row r="6" spans="1:25" x14ac:dyDescent="0.2">
      <c r="A6" s="236"/>
      <c r="B6" s="236"/>
      <c r="C6" s="237"/>
      <c r="D6" s="237"/>
      <c r="E6" s="237"/>
      <c r="F6" s="237"/>
      <c r="G6" s="237"/>
      <c r="H6" s="237"/>
      <c r="I6" s="237"/>
      <c r="J6" s="237"/>
      <c r="K6" s="238"/>
      <c r="L6" s="238"/>
      <c r="M6" s="238"/>
      <c r="N6" s="238"/>
      <c r="O6" s="238"/>
      <c r="P6" s="238"/>
      <c r="Q6" s="238"/>
      <c r="R6" s="238"/>
      <c r="S6" s="238"/>
      <c r="T6" s="238"/>
      <c r="U6" s="238"/>
      <c r="V6" s="238"/>
      <c r="W6" s="238"/>
      <c r="X6" s="238"/>
    </row>
    <row r="7" spans="1:25" x14ac:dyDescent="0.2">
      <c r="A7" s="236"/>
      <c r="B7" s="236"/>
      <c r="C7" s="237"/>
      <c r="D7" s="237"/>
      <c r="E7" s="237"/>
      <c r="F7" s="237"/>
      <c r="G7" s="237"/>
      <c r="H7" s="237"/>
      <c r="I7" s="237"/>
      <c r="J7" s="237"/>
      <c r="K7" s="238"/>
      <c r="L7" s="238"/>
      <c r="M7" s="238"/>
      <c r="N7" s="238"/>
      <c r="O7" s="238"/>
      <c r="P7" s="238"/>
      <c r="Q7" s="238"/>
      <c r="R7" s="238"/>
      <c r="S7" s="238"/>
      <c r="T7" s="238"/>
      <c r="U7" s="238"/>
      <c r="V7" s="238"/>
      <c r="W7" s="238"/>
      <c r="X7" s="238"/>
    </row>
    <row r="8" spans="1:25" x14ac:dyDescent="0.2">
      <c r="A8" s="236"/>
      <c r="B8" s="236"/>
      <c r="C8" s="237"/>
      <c r="D8" s="237"/>
      <c r="E8" s="237"/>
      <c r="F8" s="237"/>
      <c r="G8" s="237"/>
      <c r="H8" s="237"/>
      <c r="I8" s="237"/>
      <c r="J8" s="237"/>
      <c r="K8" s="238"/>
      <c r="L8" s="238"/>
      <c r="M8" s="238"/>
      <c r="N8" s="238"/>
      <c r="O8" s="238"/>
      <c r="P8" s="238"/>
      <c r="Q8" s="238"/>
      <c r="R8" s="238"/>
      <c r="S8" s="238"/>
      <c r="T8" s="238"/>
      <c r="U8" s="238"/>
      <c r="V8" s="238"/>
      <c r="W8" s="238"/>
      <c r="X8" s="238"/>
    </row>
    <row r="9" spans="1:25" x14ac:dyDescent="0.2">
      <c r="A9" s="236"/>
      <c r="B9" s="236"/>
      <c r="C9" s="237"/>
      <c r="D9" s="237"/>
      <c r="E9" s="237"/>
      <c r="F9" s="237"/>
      <c r="G9" s="237"/>
      <c r="H9" s="237"/>
      <c r="I9" s="237"/>
      <c r="J9" s="237"/>
      <c r="K9" s="238"/>
      <c r="L9" s="238"/>
      <c r="M9" s="238"/>
      <c r="N9" s="238"/>
      <c r="O9" s="238"/>
      <c r="P9" s="238"/>
      <c r="Q9" s="238"/>
      <c r="R9" s="238"/>
      <c r="S9" s="238"/>
      <c r="T9" s="238"/>
      <c r="U9" s="238"/>
      <c r="V9" s="238"/>
      <c r="W9" s="238"/>
      <c r="X9" s="238"/>
    </row>
    <row r="10" spans="1:25" ht="12.75" customHeight="1" x14ac:dyDescent="0.2">
      <c r="A10" s="387" t="s">
        <v>442</v>
      </c>
      <c r="B10" s="387" t="s">
        <v>197</v>
      </c>
      <c r="C10" s="383">
        <v>2007</v>
      </c>
      <c r="D10" s="384"/>
      <c r="E10" s="384"/>
      <c r="F10" s="384"/>
      <c r="G10" s="383">
        <v>2008</v>
      </c>
      <c r="H10" s="384"/>
      <c r="I10" s="384"/>
      <c r="J10" s="384"/>
      <c r="K10" s="383">
        <v>2009</v>
      </c>
      <c r="L10" s="384"/>
      <c r="M10" s="384"/>
      <c r="N10" s="384"/>
      <c r="O10" s="383">
        <v>2010</v>
      </c>
      <c r="P10" s="384"/>
      <c r="Q10" s="384"/>
      <c r="R10" s="384"/>
      <c r="S10" s="383">
        <v>2011</v>
      </c>
      <c r="T10" s="384"/>
      <c r="U10" s="384"/>
      <c r="V10" s="384"/>
      <c r="W10" s="383">
        <v>2012</v>
      </c>
      <c r="X10" s="384"/>
    </row>
    <row r="11" spans="1:25" s="244" customFormat="1" ht="11.25" customHeight="1" x14ac:dyDescent="0.2">
      <c r="A11" s="388"/>
      <c r="B11" s="388"/>
      <c r="C11" s="241" t="s">
        <v>253</v>
      </c>
      <c r="D11" s="242" t="s">
        <v>254</v>
      </c>
      <c r="E11" s="242" t="s">
        <v>255</v>
      </c>
      <c r="F11" s="242" t="s">
        <v>256</v>
      </c>
      <c r="G11" s="241" t="s">
        <v>253</v>
      </c>
      <c r="H11" s="242" t="s">
        <v>254</v>
      </c>
      <c r="I11" s="242" t="s">
        <v>255</v>
      </c>
      <c r="J11" s="243" t="s">
        <v>256</v>
      </c>
      <c r="K11" s="241" t="s">
        <v>253</v>
      </c>
      <c r="L11" s="242" t="s">
        <v>254</v>
      </c>
      <c r="M11" s="242" t="s">
        <v>255</v>
      </c>
      <c r="N11" s="243" t="s">
        <v>256</v>
      </c>
      <c r="O11" s="241" t="s">
        <v>253</v>
      </c>
      <c r="P11" s="242" t="s">
        <v>254</v>
      </c>
      <c r="Q11" s="242" t="s">
        <v>255</v>
      </c>
      <c r="R11" s="243" t="s">
        <v>256</v>
      </c>
      <c r="S11" s="241" t="s">
        <v>253</v>
      </c>
      <c r="T11" s="242" t="s">
        <v>254</v>
      </c>
      <c r="U11" s="242" t="s">
        <v>255</v>
      </c>
      <c r="V11" s="243" t="s">
        <v>256</v>
      </c>
      <c r="W11" s="242" t="s">
        <v>253</v>
      </c>
      <c r="X11" s="242" t="s">
        <v>254</v>
      </c>
      <c r="Y11" s="239"/>
    </row>
    <row r="12" spans="1:25" x14ac:dyDescent="0.2">
      <c r="A12" s="245" t="s">
        <v>258</v>
      </c>
      <c r="B12" s="245" t="s">
        <v>15</v>
      </c>
      <c r="C12" s="246"/>
      <c r="D12" s="247"/>
      <c r="E12" s="248"/>
      <c r="F12" s="247"/>
      <c r="G12" s="249"/>
      <c r="H12" s="247"/>
      <c r="I12" s="248"/>
      <c r="J12" s="250"/>
      <c r="K12" s="246"/>
      <c r="L12" s="247"/>
      <c r="M12" s="248"/>
      <c r="N12" s="250"/>
      <c r="O12" s="246"/>
      <c r="P12" s="247"/>
      <c r="Q12" s="248"/>
      <c r="R12" s="250"/>
      <c r="S12" s="246"/>
      <c r="T12" s="247"/>
      <c r="U12" s="248"/>
      <c r="V12" s="250"/>
      <c r="W12" s="248"/>
      <c r="X12" s="248"/>
    </row>
    <row r="13" spans="1:25" x14ac:dyDescent="0.2">
      <c r="A13" s="251" t="s">
        <v>443</v>
      </c>
      <c r="B13" s="251" t="s">
        <v>217</v>
      </c>
      <c r="C13" s="252"/>
      <c r="D13" s="253"/>
      <c r="E13" s="253"/>
      <c r="F13" s="253"/>
      <c r="G13" s="252"/>
      <c r="H13" s="253"/>
      <c r="I13" s="253"/>
      <c r="J13" s="254"/>
      <c r="K13" s="252"/>
      <c r="L13" s="253"/>
      <c r="M13" s="253"/>
      <c r="N13" s="254"/>
      <c r="O13" s="252"/>
      <c r="P13" s="253"/>
      <c r="Q13" s="253"/>
      <c r="R13" s="254"/>
      <c r="S13" s="252"/>
      <c r="T13" s="253"/>
      <c r="U13" s="253"/>
      <c r="V13" s="254"/>
      <c r="W13" s="253"/>
      <c r="X13" s="253"/>
    </row>
    <row r="14" spans="1:25" x14ac:dyDescent="0.2">
      <c r="A14" s="255" t="s">
        <v>444</v>
      </c>
      <c r="B14" s="255" t="s">
        <v>198</v>
      </c>
      <c r="C14" s="252">
        <v>130.1</v>
      </c>
      <c r="D14" s="253">
        <v>130.1</v>
      </c>
      <c r="E14" s="253">
        <v>130.1</v>
      </c>
      <c r="F14" s="253">
        <v>130.1</v>
      </c>
      <c r="G14" s="252">
        <v>130.1</v>
      </c>
      <c r="H14" s="253">
        <v>130.1</v>
      </c>
      <c r="I14" s="253">
        <v>130.1</v>
      </c>
      <c r="J14" s="254">
        <v>130.1</v>
      </c>
      <c r="K14" s="252">
        <v>130.1</v>
      </c>
      <c r="L14" s="253">
        <v>130.1</v>
      </c>
      <c r="M14" s="253">
        <v>130.1</v>
      </c>
      <c r="N14" s="254">
        <v>130.1</v>
      </c>
      <c r="O14" s="252">
        <v>130.1</v>
      </c>
      <c r="P14" s="253">
        <v>130.1</v>
      </c>
      <c r="Q14" s="253">
        <v>130.1</v>
      </c>
      <c r="R14" s="254">
        <v>130.1</v>
      </c>
      <c r="S14" s="252">
        <v>130.1</v>
      </c>
      <c r="T14" s="253">
        <v>130.1</v>
      </c>
      <c r="U14" s="253">
        <v>130.1</v>
      </c>
      <c r="V14" s="254">
        <v>130.1</v>
      </c>
      <c r="W14" s="253">
        <v>130.1</v>
      </c>
      <c r="X14" s="253">
        <v>130.1</v>
      </c>
    </row>
    <row r="15" spans="1:25" x14ac:dyDescent="0.2">
      <c r="A15" s="255" t="s">
        <v>445</v>
      </c>
      <c r="B15" s="255" t="s">
        <v>199</v>
      </c>
      <c r="C15" s="252">
        <v>956.3</v>
      </c>
      <c r="D15" s="253">
        <v>956.3</v>
      </c>
      <c r="E15" s="253">
        <v>956.3</v>
      </c>
      <c r="F15" s="253">
        <v>956.3</v>
      </c>
      <c r="G15" s="252">
        <v>956.3</v>
      </c>
      <c r="H15" s="253">
        <v>956.3</v>
      </c>
      <c r="I15" s="253">
        <v>956.3</v>
      </c>
      <c r="J15" s="254">
        <v>956.3</v>
      </c>
      <c r="K15" s="252">
        <v>956.3</v>
      </c>
      <c r="L15" s="253">
        <v>956.3</v>
      </c>
      <c r="M15" s="253">
        <v>956.3</v>
      </c>
      <c r="N15" s="254">
        <v>956.3</v>
      </c>
      <c r="O15" s="252">
        <v>956.3</v>
      </c>
      <c r="P15" s="253">
        <v>956.3</v>
      </c>
      <c r="Q15" s="253">
        <v>956.3</v>
      </c>
      <c r="R15" s="254">
        <v>956.3</v>
      </c>
      <c r="S15" s="252">
        <v>956.3</v>
      </c>
      <c r="T15" s="253">
        <v>956.3</v>
      </c>
      <c r="U15" s="253">
        <v>956.3</v>
      </c>
      <c r="V15" s="254">
        <v>956.3</v>
      </c>
      <c r="W15" s="253">
        <v>956.3</v>
      </c>
      <c r="X15" s="253">
        <v>956.3</v>
      </c>
    </row>
    <row r="16" spans="1:25" x14ac:dyDescent="0.2">
      <c r="A16" s="255" t="s">
        <v>446</v>
      </c>
      <c r="B16" s="255" t="s">
        <v>200</v>
      </c>
      <c r="C16" s="252">
        <v>61.1</v>
      </c>
      <c r="D16" s="253">
        <v>61.4</v>
      </c>
      <c r="E16" s="253">
        <v>61.3</v>
      </c>
      <c r="F16" s="253">
        <v>61.8</v>
      </c>
      <c r="G16" s="252">
        <v>61.8</v>
      </c>
      <c r="H16" s="253">
        <v>61.9</v>
      </c>
      <c r="I16" s="253">
        <v>61.9</v>
      </c>
      <c r="J16" s="254">
        <v>62.9</v>
      </c>
      <c r="K16" s="252">
        <v>62.9</v>
      </c>
      <c r="L16" s="253">
        <v>62.9</v>
      </c>
      <c r="M16" s="253">
        <v>62.9</v>
      </c>
      <c r="N16" s="254">
        <v>62.9</v>
      </c>
      <c r="O16" s="252">
        <v>62.9</v>
      </c>
      <c r="P16" s="253">
        <v>62.9</v>
      </c>
      <c r="Q16" s="253">
        <v>62.9</v>
      </c>
      <c r="R16" s="254">
        <v>62.9</v>
      </c>
      <c r="S16" s="252">
        <v>62.9</v>
      </c>
      <c r="T16" s="253">
        <v>62.9</v>
      </c>
      <c r="U16" s="253">
        <v>62.9</v>
      </c>
      <c r="V16" s="254">
        <v>65</v>
      </c>
      <c r="W16" s="253">
        <v>65.099999999999994</v>
      </c>
      <c r="X16" s="253">
        <v>65.099999999999994</v>
      </c>
    </row>
    <row r="17" spans="1:25" x14ac:dyDescent="0.2">
      <c r="A17" s="256" t="s">
        <v>447</v>
      </c>
      <c r="B17" s="256" t="s">
        <v>201</v>
      </c>
      <c r="C17" s="252">
        <v>1364.6</v>
      </c>
      <c r="D17" s="253">
        <v>1492.3999999999999</v>
      </c>
      <c r="E17" s="253">
        <v>1493.8999999999999</v>
      </c>
      <c r="F17" s="253">
        <v>1493.3999999999999</v>
      </c>
      <c r="G17" s="252">
        <v>1493.1000000000001</v>
      </c>
      <c r="H17" s="253">
        <v>1750.3999999999999</v>
      </c>
      <c r="I17" s="253">
        <v>1750.3999999999999</v>
      </c>
      <c r="J17" s="254">
        <v>1751</v>
      </c>
      <c r="K17" s="252">
        <v>1751</v>
      </c>
      <c r="L17" s="253">
        <v>2160.7999999999997</v>
      </c>
      <c r="M17" s="253">
        <v>2161.6999999999998</v>
      </c>
      <c r="N17" s="254">
        <v>2162.5</v>
      </c>
      <c r="O17" s="252">
        <v>2163.6</v>
      </c>
      <c r="P17" s="253">
        <v>2669.1</v>
      </c>
      <c r="Q17" s="253">
        <v>2670.7999999999997</v>
      </c>
      <c r="R17" s="254">
        <v>2670.8999999999996</v>
      </c>
      <c r="S17" s="252">
        <v>2672.7999999999993</v>
      </c>
      <c r="T17" s="253">
        <v>3121.1</v>
      </c>
      <c r="U17" s="253">
        <v>3122.3</v>
      </c>
      <c r="V17" s="254">
        <v>3122</v>
      </c>
      <c r="W17" s="253">
        <v>3122</v>
      </c>
      <c r="X17" s="253">
        <v>3976.7999999999997</v>
      </c>
    </row>
    <row r="18" spans="1:25" x14ac:dyDescent="0.2">
      <c r="A18" s="255" t="s">
        <v>448</v>
      </c>
      <c r="B18" s="255" t="s">
        <v>202</v>
      </c>
      <c r="C18" s="257">
        <v>0</v>
      </c>
      <c r="D18" s="258">
        <v>0</v>
      </c>
      <c r="E18" s="258">
        <v>0</v>
      </c>
      <c r="F18" s="258">
        <v>0</v>
      </c>
      <c r="G18" s="252">
        <v>0</v>
      </c>
      <c r="H18" s="253">
        <v>0</v>
      </c>
      <c r="I18" s="253">
        <v>457.4</v>
      </c>
      <c r="J18" s="254">
        <v>455.6</v>
      </c>
      <c r="K18" s="252">
        <v>0</v>
      </c>
      <c r="L18" s="253">
        <v>0</v>
      </c>
      <c r="M18" s="253">
        <v>299.8</v>
      </c>
      <c r="N18" s="254">
        <v>299.8</v>
      </c>
      <c r="O18" s="252">
        <v>0</v>
      </c>
      <c r="P18" s="253">
        <v>0</v>
      </c>
      <c r="Q18" s="253">
        <v>361.8</v>
      </c>
      <c r="R18" s="254">
        <v>361.8</v>
      </c>
      <c r="S18" s="252">
        <v>0</v>
      </c>
      <c r="T18" s="253">
        <v>0</v>
      </c>
      <c r="U18" s="253">
        <v>501.3</v>
      </c>
      <c r="V18" s="254">
        <v>501.3</v>
      </c>
      <c r="W18" s="253">
        <v>0</v>
      </c>
      <c r="X18" s="253">
        <v>222.4</v>
      </c>
    </row>
    <row r="19" spans="1:25" x14ac:dyDescent="0.2">
      <c r="A19" s="255" t="s">
        <v>457</v>
      </c>
      <c r="B19" s="255" t="s">
        <v>203</v>
      </c>
      <c r="C19" s="252">
        <v>0</v>
      </c>
      <c r="D19" s="253">
        <v>0</v>
      </c>
      <c r="E19" s="253">
        <v>0</v>
      </c>
      <c r="F19" s="254">
        <v>0</v>
      </c>
      <c r="G19" s="253">
        <v>458.00000000000006</v>
      </c>
      <c r="H19" s="253">
        <v>0</v>
      </c>
      <c r="I19" s="253">
        <v>0</v>
      </c>
      <c r="J19" s="254">
        <v>0</v>
      </c>
      <c r="K19" s="253">
        <v>455.6</v>
      </c>
      <c r="L19" s="253">
        <v>0</v>
      </c>
      <c r="M19" s="253">
        <v>0</v>
      </c>
      <c r="N19" s="254">
        <v>0</v>
      </c>
      <c r="O19" s="253">
        <v>582.1</v>
      </c>
      <c r="P19" s="253">
        <v>0</v>
      </c>
      <c r="Q19" s="253">
        <v>0</v>
      </c>
      <c r="R19" s="254">
        <v>0</v>
      </c>
      <c r="S19" s="253">
        <v>507.19999999999993</v>
      </c>
      <c r="T19" s="253">
        <v>0</v>
      </c>
      <c r="U19" s="253">
        <v>0</v>
      </c>
      <c r="V19" s="254">
        <v>0</v>
      </c>
      <c r="W19" s="253">
        <v>903.8</v>
      </c>
      <c r="X19" s="253">
        <v>0</v>
      </c>
    </row>
    <row r="20" spans="1:25" x14ac:dyDescent="0.2">
      <c r="A20" s="255" t="s">
        <v>450</v>
      </c>
      <c r="B20" s="255" t="s">
        <v>205</v>
      </c>
      <c r="C20" s="252">
        <v>480.1</v>
      </c>
      <c r="D20" s="253">
        <v>530.1</v>
      </c>
      <c r="E20" s="253">
        <v>530.1</v>
      </c>
      <c r="F20" s="253">
        <v>530.1</v>
      </c>
      <c r="G20" s="252">
        <v>530.1</v>
      </c>
      <c r="H20" s="253">
        <v>730.1</v>
      </c>
      <c r="I20" s="253">
        <v>730.1</v>
      </c>
      <c r="J20" s="254">
        <v>730.1</v>
      </c>
      <c r="K20" s="252">
        <v>730.1</v>
      </c>
      <c r="L20" s="253">
        <v>790.1</v>
      </c>
      <c r="M20" s="253">
        <v>790.1</v>
      </c>
      <c r="N20" s="254">
        <v>790.1</v>
      </c>
      <c r="O20" s="252">
        <v>790.1</v>
      </c>
      <c r="P20" s="253">
        <v>850.1</v>
      </c>
      <c r="Q20" s="253">
        <v>850.1</v>
      </c>
      <c r="R20" s="254">
        <v>850.1</v>
      </c>
      <c r="S20" s="252">
        <v>850.1</v>
      </c>
      <c r="T20" s="253">
        <v>910.2</v>
      </c>
      <c r="U20" s="253">
        <v>910.2</v>
      </c>
      <c r="V20" s="254">
        <v>910.1</v>
      </c>
      <c r="W20" s="253">
        <v>910.1</v>
      </c>
      <c r="X20" s="253">
        <v>960.2</v>
      </c>
    </row>
    <row r="21" spans="1:25" x14ac:dyDescent="0.2">
      <c r="A21" s="255" t="s">
        <v>451</v>
      </c>
      <c r="B21" s="255" t="s">
        <v>206</v>
      </c>
      <c r="C21" s="252">
        <v>62.5</v>
      </c>
      <c r="D21" s="253">
        <v>-24.899999999999991</v>
      </c>
      <c r="E21" s="253">
        <v>-36.700000000000003</v>
      </c>
      <c r="F21" s="253">
        <v>-112.39999999999999</v>
      </c>
      <c r="G21" s="252">
        <v>-157.69999999999999</v>
      </c>
      <c r="H21" s="253">
        <v>-239.6</v>
      </c>
      <c r="I21" s="253">
        <v>-130</v>
      </c>
      <c r="J21" s="254">
        <v>-102.8</v>
      </c>
      <c r="K21" s="252">
        <v>-121.5</v>
      </c>
      <c r="L21" s="253">
        <v>-61.5</v>
      </c>
      <c r="M21" s="253">
        <v>-37.799999999999997</v>
      </c>
      <c r="N21" s="254">
        <v>-2.4</v>
      </c>
      <c r="O21" s="252">
        <v>34.9</v>
      </c>
      <c r="P21" s="253">
        <v>-3.9</v>
      </c>
      <c r="Q21" s="253">
        <v>31.7</v>
      </c>
      <c r="R21" s="254">
        <v>7.6</v>
      </c>
      <c r="S21" s="252">
        <v>-46.7</v>
      </c>
      <c r="T21" s="253">
        <v>44.1</v>
      </c>
      <c r="U21" s="253">
        <v>4.9000000000000004</v>
      </c>
      <c r="V21" s="254">
        <v>16.899999999999999</v>
      </c>
      <c r="W21" s="253">
        <v>98.2</v>
      </c>
      <c r="X21" s="253">
        <v>121.4</v>
      </c>
    </row>
    <row r="22" spans="1:25" x14ac:dyDescent="0.2">
      <c r="A22" s="255" t="s">
        <v>452</v>
      </c>
      <c r="B22" s="255" t="s">
        <v>207</v>
      </c>
      <c r="C22" s="252">
        <v>-313.40000000000003</v>
      </c>
      <c r="D22" s="253">
        <v>-318.3</v>
      </c>
      <c r="E22" s="253">
        <v>-317.89999999999998</v>
      </c>
      <c r="F22" s="253">
        <v>-317.8</v>
      </c>
      <c r="G22" s="252">
        <v>-314.5</v>
      </c>
      <c r="H22" s="253">
        <v>-309.70000000000005</v>
      </c>
      <c r="I22" s="253">
        <v>-308</v>
      </c>
      <c r="J22" s="254">
        <v>-314.8</v>
      </c>
      <c r="K22" s="252">
        <v>-312.10000000000002</v>
      </c>
      <c r="L22" s="253">
        <v>-316.39999999999998</v>
      </c>
      <c r="M22" s="253">
        <v>-315.10000000000002</v>
      </c>
      <c r="N22" s="254">
        <v>-325.7</v>
      </c>
      <c r="O22" s="252">
        <v>-321.39999999999998</v>
      </c>
      <c r="P22" s="253">
        <v>-324.5</v>
      </c>
      <c r="Q22" s="253">
        <v>-324.5</v>
      </c>
      <c r="R22" s="254">
        <v>-340.9</v>
      </c>
      <c r="S22" s="252">
        <v>-340.7</v>
      </c>
      <c r="T22" s="253">
        <v>-356.5</v>
      </c>
      <c r="U22" s="253">
        <v>-354.2</v>
      </c>
      <c r="V22" s="254">
        <v>-360.8</v>
      </c>
      <c r="W22" s="253">
        <v>-356.7</v>
      </c>
      <c r="X22" s="253">
        <v>-355.3</v>
      </c>
    </row>
    <row r="23" spans="1:25" x14ac:dyDescent="0.2">
      <c r="A23" s="255" t="s">
        <v>453</v>
      </c>
      <c r="B23" s="255" t="s">
        <v>218</v>
      </c>
      <c r="C23" s="252">
        <v>-80.2</v>
      </c>
      <c r="D23" s="253">
        <v>-93.7</v>
      </c>
      <c r="E23" s="253">
        <v>-93.7</v>
      </c>
      <c r="F23" s="253">
        <v>-143.69999999999999</v>
      </c>
      <c r="G23" s="252">
        <v>-183.7</v>
      </c>
      <c r="H23" s="253">
        <v>-183.7</v>
      </c>
      <c r="I23" s="253">
        <v>-183.7</v>
      </c>
      <c r="J23" s="254">
        <v>-183.7</v>
      </c>
      <c r="K23" s="252">
        <v>-208.7</v>
      </c>
      <c r="L23" s="253">
        <v>-283.7</v>
      </c>
      <c r="M23" s="253">
        <v>-283.7</v>
      </c>
      <c r="N23" s="254">
        <v>-283.7</v>
      </c>
      <c r="O23" s="252">
        <v>-283.7</v>
      </c>
      <c r="P23" s="253">
        <v>-283.7</v>
      </c>
      <c r="Q23" s="253">
        <v>-283.7</v>
      </c>
      <c r="R23" s="254">
        <v>-283.7</v>
      </c>
      <c r="S23" s="252">
        <v>-283.7</v>
      </c>
      <c r="T23" s="253">
        <v>-283.7</v>
      </c>
      <c r="U23" s="253">
        <v>-283.7</v>
      </c>
      <c r="V23" s="254">
        <v>-70.2</v>
      </c>
      <c r="W23" s="253">
        <v>-276.3</v>
      </c>
      <c r="X23" s="253">
        <v>-276.3</v>
      </c>
    </row>
    <row r="24" spans="1:25" x14ac:dyDescent="0.2">
      <c r="A24" s="255" t="s">
        <v>454</v>
      </c>
      <c r="B24" s="255" t="s">
        <v>208</v>
      </c>
      <c r="C24" s="252">
        <v>38.1</v>
      </c>
      <c r="D24" s="253">
        <v>9</v>
      </c>
      <c r="E24" s="253">
        <v>141.19999999999999</v>
      </c>
      <c r="F24" s="253">
        <v>91.2</v>
      </c>
      <c r="G24" s="252">
        <v>40.1</v>
      </c>
      <c r="H24" s="253">
        <v>50.7</v>
      </c>
      <c r="I24" s="253">
        <v>89.9</v>
      </c>
      <c r="J24" s="254">
        <v>79.7</v>
      </c>
      <c r="K24" s="252">
        <v>0</v>
      </c>
      <c r="L24" s="253">
        <v>63.5</v>
      </c>
      <c r="M24" s="253">
        <v>54.9</v>
      </c>
      <c r="N24" s="254">
        <v>65.5</v>
      </c>
      <c r="O24" s="252">
        <v>55.1</v>
      </c>
      <c r="P24" s="253">
        <v>38.799999999999997</v>
      </c>
      <c r="Q24" s="253">
        <v>39.299999999999997</v>
      </c>
      <c r="R24" s="254">
        <v>26</v>
      </c>
      <c r="S24" s="252">
        <v>61.6</v>
      </c>
      <c r="T24" s="253">
        <v>59.8</v>
      </c>
      <c r="U24" s="253">
        <v>40.299999999999997</v>
      </c>
      <c r="V24" s="254">
        <v>41.4</v>
      </c>
      <c r="W24" s="253">
        <v>50.8</v>
      </c>
      <c r="X24" s="253">
        <v>42</v>
      </c>
    </row>
    <row r="25" spans="1:25" x14ac:dyDescent="0.2">
      <c r="A25" s="255" t="s">
        <v>456</v>
      </c>
      <c r="B25" s="255" t="s">
        <v>219</v>
      </c>
      <c r="C25" s="257" t="s">
        <v>558</v>
      </c>
      <c r="D25" s="258" t="s">
        <v>558</v>
      </c>
      <c r="E25" s="258" t="s">
        <v>558</v>
      </c>
      <c r="F25" s="258" t="s">
        <v>558</v>
      </c>
      <c r="G25" s="257" t="s">
        <v>558</v>
      </c>
      <c r="H25" s="258" t="s">
        <v>558</v>
      </c>
      <c r="I25" s="258" t="s">
        <v>558</v>
      </c>
      <c r="J25" s="259" t="s">
        <v>558</v>
      </c>
      <c r="K25" s="257" t="s">
        <v>558</v>
      </c>
      <c r="L25" s="258" t="s">
        <v>558</v>
      </c>
      <c r="M25" s="258" t="s">
        <v>558</v>
      </c>
      <c r="N25" s="259" t="s">
        <v>558</v>
      </c>
      <c r="O25" s="257" t="s">
        <v>558</v>
      </c>
      <c r="P25" s="258" t="s">
        <v>558</v>
      </c>
      <c r="Q25" s="258" t="s">
        <v>558</v>
      </c>
      <c r="R25" s="259" t="s">
        <v>558</v>
      </c>
      <c r="S25" s="257" t="s">
        <v>558</v>
      </c>
      <c r="T25" s="258" t="s">
        <v>558</v>
      </c>
      <c r="U25" s="258" t="s">
        <v>558</v>
      </c>
      <c r="V25" s="254">
        <v>-154.80000000000001</v>
      </c>
      <c r="W25" s="253">
        <v>-156</v>
      </c>
      <c r="X25" s="253">
        <v>-144.6</v>
      </c>
    </row>
    <row r="26" spans="1:25" x14ac:dyDescent="0.2">
      <c r="A26" s="260" t="s">
        <v>455</v>
      </c>
      <c r="B26" s="260" t="s">
        <v>209</v>
      </c>
      <c r="C26" s="261">
        <f t="shared" ref="C26:X26" si="0">SUM(C14:C25)</f>
        <v>2699.1999999999994</v>
      </c>
      <c r="D26" s="262">
        <f t="shared" si="0"/>
        <v>2742.3999999999996</v>
      </c>
      <c r="E26" s="262">
        <f t="shared" si="0"/>
        <v>2864.5999999999995</v>
      </c>
      <c r="F26" s="262">
        <f t="shared" si="0"/>
        <v>2688.9999999999991</v>
      </c>
      <c r="G26" s="261">
        <f t="shared" si="0"/>
        <v>3013.6000000000004</v>
      </c>
      <c r="H26" s="262">
        <f t="shared" si="0"/>
        <v>2946.5</v>
      </c>
      <c r="I26" s="262">
        <f t="shared" si="0"/>
        <v>3554.4</v>
      </c>
      <c r="J26" s="263">
        <f t="shared" si="0"/>
        <v>3564.3999999999996</v>
      </c>
      <c r="K26" s="261">
        <f t="shared" si="0"/>
        <v>3443.7000000000003</v>
      </c>
      <c r="L26" s="262">
        <f t="shared" si="0"/>
        <v>3502.1</v>
      </c>
      <c r="M26" s="262">
        <f t="shared" si="0"/>
        <v>3819.2000000000007</v>
      </c>
      <c r="N26" s="263">
        <f t="shared" si="0"/>
        <v>3855.4000000000015</v>
      </c>
      <c r="O26" s="261">
        <f t="shared" si="0"/>
        <v>4170</v>
      </c>
      <c r="P26" s="262">
        <f t="shared" si="0"/>
        <v>4095.2000000000007</v>
      </c>
      <c r="Q26" s="262">
        <f t="shared" si="0"/>
        <v>4494.8</v>
      </c>
      <c r="R26" s="263">
        <f t="shared" si="0"/>
        <v>4441.1000000000013</v>
      </c>
      <c r="S26" s="261">
        <f t="shared" si="0"/>
        <v>4569.9000000000005</v>
      </c>
      <c r="T26" s="262">
        <f t="shared" si="0"/>
        <v>4644.3</v>
      </c>
      <c r="U26" s="262">
        <f t="shared" si="0"/>
        <v>5090.4000000000005</v>
      </c>
      <c r="V26" s="263">
        <f t="shared" si="0"/>
        <v>5157.2999999999993</v>
      </c>
      <c r="W26" s="262">
        <f t="shared" si="0"/>
        <v>5447.4000000000005</v>
      </c>
      <c r="X26" s="262">
        <f t="shared" si="0"/>
        <v>5698.0999999999976</v>
      </c>
    </row>
    <row r="27" spans="1:25" x14ac:dyDescent="0.2">
      <c r="A27" s="255"/>
      <c r="B27" s="255"/>
      <c r="C27" s="252"/>
      <c r="D27" s="253"/>
      <c r="E27" s="253"/>
      <c r="F27" s="253"/>
      <c r="G27" s="252"/>
      <c r="H27" s="253"/>
      <c r="I27" s="253"/>
      <c r="J27" s="254"/>
      <c r="K27" s="252"/>
      <c r="L27" s="253"/>
      <c r="M27" s="253"/>
      <c r="N27" s="254"/>
      <c r="O27" s="252"/>
      <c r="P27" s="253"/>
      <c r="Q27" s="253"/>
      <c r="R27" s="254"/>
      <c r="S27" s="252"/>
      <c r="T27" s="253"/>
      <c r="U27" s="253"/>
      <c r="V27" s="254"/>
      <c r="W27" s="253"/>
      <c r="X27" s="253"/>
    </row>
    <row r="28" spans="1:25" x14ac:dyDescent="0.2">
      <c r="A28" s="264" t="s">
        <v>458</v>
      </c>
      <c r="B28" s="264" t="s">
        <v>210</v>
      </c>
      <c r="C28" s="252"/>
      <c r="D28" s="253"/>
      <c r="E28" s="253"/>
      <c r="F28" s="253"/>
      <c r="G28" s="252"/>
      <c r="H28" s="253"/>
      <c r="I28" s="253"/>
      <c r="J28" s="254"/>
      <c r="K28" s="252"/>
      <c r="L28" s="253"/>
      <c r="M28" s="253"/>
      <c r="N28" s="254"/>
      <c r="O28" s="252"/>
      <c r="P28" s="253"/>
      <c r="Q28" s="253"/>
      <c r="R28" s="254"/>
      <c r="S28" s="252"/>
      <c r="T28" s="253"/>
      <c r="U28" s="253"/>
      <c r="V28" s="254"/>
      <c r="W28" s="253"/>
      <c r="X28" s="253"/>
    </row>
    <row r="29" spans="1:25" ht="24" x14ac:dyDescent="0.2">
      <c r="A29" s="255" t="s">
        <v>459</v>
      </c>
      <c r="B29" s="255" t="s">
        <v>211</v>
      </c>
      <c r="C29" s="257" t="s">
        <v>558</v>
      </c>
      <c r="D29" s="258" t="s">
        <v>558</v>
      </c>
      <c r="E29" s="258" t="s">
        <v>558</v>
      </c>
      <c r="F29" s="258" t="s">
        <v>558</v>
      </c>
      <c r="G29" s="252">
        <v>2044.6</v>
      </c>
      <c r="H29" s="253">
        <v>1963.6</v>
      </c>
      <c r="I29" s="253">
        <v>2157</v>
      </c>
      <c r="J29" s="254">
        <v>2553.6999999999998</v>
      </c>
      <c r="K29" s="252">
        <v>2586.6999999999998</v>
      </c>
      <c r="L29" s="253">
        <v>2469.9</v>
      </c>
      <c r="M29" s="253">
        <v>2384.1</v>
      </c>
      <c r="N29" s="254">
        <v>2393</v>
      </c>
      <c r="O29" s="252">
        <v>2359.5</v>
      </c>
      <c r="P29" s="253">
        <v>2462.5</v>
      </c>
      <c r="Q29" s="253">
        <v>2545.6</v>
      </c>
      <c r="R29" s="254">
        <v>2549.1</v>
      </c>
      <c r="S29" s="252">
        <v>2695.3</v>
      </c>
      <c r="T29" s="253">
        <v>2781</v>
      </c>
      <c r="U29" s="253">
        <v>3024</v>
      </c>
      <c r="V29" s="254">
        <v>3160.9</v>
      </c>
      <c r="W29" s="253">
        <v>3312.9</v>
      </c>
      <c r="X29" s="253">
        <v>3232.8</v>
      </c>
    </row>
    <row r="30" spans="1:25" s="268" customFormat="1" ht="24" x14ac:dyDescent="0.2">
      <c r="A30" s="265"/>
      <c r="B30" s="265" t="s">
        <v>609</v>
      </c>
      <c r="C30" s="257" t="s">
        <v>558</v>
      </c>
      <c r="D30" s="258" t="s">
        <v>558</v>
      </c>
      <c r="E30" s="258" t="s">
        <v>558</v>
      </c>
      <c r="F30" s="258" t="s">
        <v>558</v>
      </c>
      <c r="G30" s="257" t="s">
        <v>558</v>
      </c>
      <c r="H30" s="258" t="s">
        <v>558</v>
      </c>
      <c r="I30" s="258" t="s">
        <v>558</v>
      </c>
      <c r="J30" s="258" t="s">
        <v>558</v>
      </c>
      <c r="K30" s="257" t="s">
        <v>558</v>
      </c>
      <c r="L30" s="258" t="s">
        <v>558</v>
      </c>
      <c r="M30" s="258" t="s">
        <v>558</v>
      </c>
      <c r="N30" s="258" t="s">
        <v>558</v>
      </c>
      <c r="O30" s="257" t="s">
        <v>558</v>
      </c>
      <c r="P30" s="258" t="s">
        <v>558</v>
      </c>
      <c r="Q30" s="258" t="s">
        <v>558</v>
      </c>
      <c r="R30" s="258" t="s">
        <v>558</v>
      </c>
      <c r="S30" s="257" t="s">
        <v>558</v>
      </c>
      <c r="T30" s="258" t="s">
        <v>558</v>
      </c>
      <c r="U30" s="258" t="s">
        <v>558</v>
      </c>
      <c r="V30" s="266">
        <v>329.3</v>
      </c>
      <c r="W30" s="267">
        <v>345.8</v>
      </c>
      <c r="X30" s="267">
        <v>162.80000000000001</v>
      </c>
      <c r="Y30" s="239"/>
    </row>
    <row r="31" spans="1:25" x14ac:dyDescent="0.2">
      <c r="A31" s="255" t="s">
        <v>460</v>
      </c>
      <c r="B31" s="255" t="s">
        <v>212</v>
      </c>
      <c r="C31" s="257" t="s">
        <v>558</v>
      </c>
      <c r="D31" s="258" t="s">
        <v>558</v>
      </c>
      <c r="E31" s="258" t="s">
        <v>558</v>
      </c>
      <c r="F31" s="258" t="s">
        <v>558</v>
      </c>
      <c r="G31" s="252">
        <v>0</v>
      </c>
      <c r="H31" s="253">
        <v>0</v>
      </c>
      <c r="I31" s="253">
        <v>0</v>
      </c>
      <c r="J31" s="254">
        <v>1.3</v>
      </c>
      <c r="K31" s="252">
        <v>1.7</v>
      </c>
      <c r="L31" s="253">
        <v>2.2000000000000002</v>
      </c>
      <c r="M31" s="253">
        <v>2.2000000000000002</v>
      </c>
      <c r="N31" s="254">
        <v>2.2000000000000002</v>
      </c>
      <c r="O31" s="252">
        <v>2.2000000000000002</v>
      </c>
      <c r="P31" s="253">
        <v>4.0999999999999996</v>
      </c>
      <c r="Q31" s="253">
        <v>4.5999999999999996</v>
      </c>
      <c r="R31" s="254">
        <v>5.0999999999999996</v>
      </c>
      <c r="S31" s="252">
        <v>5.6</v>
      </c>
      <c r="T31" s="253">
        <v>6.3</v>
      </c>
      <c r="U31" s="253">
        <v>7.1</v>
      </c>
      <c r="V31" s="254">
        <v>7.9</v>
      </c>
      <c r="W31" s="253">
        <v>8.6999999999999993</v>
      </c>
      <c r="X31" s="253">
        <v>9.4</v>
      </c>
    </row>
    <row r="32" spans="1:25" ht="24" x14ac:dyDescent="0.2">
      <c r="A32" s="255" t="s">
        <v>461</v>
      </c>
      <c r="B32" s="255" t="s">
        <v>213</v>
      </c>
      <c r="C32" s="257" t="s">
        <v>558</v>
      </c>
      <c r="D32" s="258" t="s">
        <v>558</v>
      </c>
      <c r="E32" s="258" t="s">
        <v>558</v>
      </c>
      <c r="F32" s="258" t="s">
        <v>558</v>
      </c>
      <c r="G32" s="252">
        <v>17.899999999999999</v>
      </c>
      <c r="H32" s="253">
        <v>15.1</v>
      </c>
      <c r="I32" s="253">
        <v>31.6</v>
      </c>
      <c r="J32" s="254">
        <v>27.7</v>
      </c>
      <c r="K32" s="252">
        <v>25.9</v>
      </c>
      <c r="L32" s="253">
        <v>19.3</v>
      </c>
      <c r="M32" s="253">
        <v>13.7</v>
      </c>
      <c r="N32" s="254">
        <v>15.3</v>
      </c>
      <c r="O32" s="252">
        <v>8.4</v>
      </c>
      <c r="P32" s="253">
        <v>8.6</v>
      </c>
      <c r="Q32" s="253">
        <v>7.5</v>
      </c>
      <c r="R32" s="254">
        <v>1.3</v>
      </c>
      <c r="S32" s="252">
        <v>17.600000000000001</v>
      </c>
      <c r="T32" s="253">
        <v>22.2</v>
      </c>
      <c r="U32" s="253">
        <v>0</v>
      </c>
      <c r="V32" s="254">
        <v>8.6999999999999993</v>
      </c>
      <c r="W32" s="253">
        <v>9.1999999999999993</v>
      </c>
      <c r="X32" s="253">
        <v>11</v>
      </c>
    </row>
    <row r="33" spans="1:25" x14ac:dyDescent="0.2">
      <c r="A33" s="255" t="s">
        <v>462</v>
      </c>
      <c r="B33" s="255" t="s">
        <v>220</v>
      </c>
      <c r="C33" s="257" t="s">
        <v>558</v>
      </c>
      <c r="D33" s="258" t="s">
        <v>558</v>
      </c>
      <c r="E33" s="258" t="s">
        <v>558</v>
      </c>
      <c r="F33" s="258" t="s">
        <v>558</v>
      </c>
      <c r="G33" s="252">
        <v>267.5</v>
      </c>
      <c r="H33" s="253">
        <v>267.5</v>
      </c>
      <c r="I33" s="253">
        <v>267.5</v>
      </c>
      <c r="J33" s="254">
        <v>267.5</v>
      </c>
      <c r="K33" s="252">
        <v>286.2</v>
      </c>
      <c r="L33" s="253">
        <v>286.2</v>
      </c>
      <c r="M33" s="253">
        <v>286.2</v>
      </c>
      <c r="N33" s="254">
        <v>286.2</v>
      </c>
      <c r="O33" s="252">
        <v>324.5</v>
      </c>
      <c r="P33" s="253">
        <v>324.5</v>
      </c>
      <c r="Q33" s="253">
        <v>324.5</v>
      </c>
      <c r="R33" s="254">
        <v>324.5</v>
      </c>
      <c r="S33" s="252">
        <v>357.9</v>
      </c>
      <c r="T33" s="253">
        <v>357.9</v>
      </c>
      <c r="U33" s="253">
        <v>357.9</v>
      </c>
      <c r="V33" s="254">
        <v>361</v>
      </c>
      <c r="W33" s="253">
        <v>402.6</v>
      </c>
      <c r="X33" s="253">
        <v>402.6</v>
      </c>
    </row>
    <row r="34" spans="1:25" x14ac:dyDescent="0.2">
      <c r="A34" s="255" t="s">
        <v>463</v>
      </c>
      <c r="B34" s="255" t="s">
        <v>214</v>
      </c>
      <c r="C34" s="257" t="s">
        <v>558</v>
      </c>
      <c r="D34" s="258" t="s">
        <v>558</v>
      </c>
      <c r="E34" s="258" t="s">
        <v>558</v>
      </c>
      <c r="F34" s="258" t="s">
        <v>558</v>
      </c>
      <c r="G34" s="252">
        <v>22.2</v>
      </c>
      <c r="H34" s="253">
        <v>35.6</v>
      </c>
      <c r="I34" s="253">
        <v>58.3</v>
      </c>
      <c r="J34" s="254">
        <v>52</v>
      </c>
      <c r="K34" s="252">
        <v>33.9</v>
      </c>
      <c r="L34" s="253">
        <v>44.3</v>
      </c>
      <c r="M34" s="253">
        <v>39</v>
      </c>
      <c r="N34" s="254">
        <v>48</v>
      </c>
      <c r="O34" s="252">
        <v>44.5</v>
      </c>
      <c r="P34" s="253">
        <v>26.1</v>
      </c>
      <c r="Q34" s="253">
        <v>27.2</v>
      </c>
      <c r="R34" s="254">
        <v>19.7</v>
      </c>
      <c r="S34" s="252">
        <v>38.4</v>
      </c>
      <c r="T34" s="253">
        <v>31.3</v>
      </c>
      <c r="U34" s="253">
        <v>33.200000000000003</v>
      </c>
      <c r="V34" s="254">
        <v>24.8</v>
      </c>
      <c r="W34" s="253">
        <v>32.9</v>
      </c>
      <c r="X34" s="253">
        <v>21.7</v>
      </c>
    </row>
    <row r="35" spans="1:25" x14ac:dyDescent="0.2">
      <c r="A35" s="255" t="s">
        <v>464</v>
      </c>
      <c r="B35" s="255" t="s">
        <v>215</v>
      </c>
      <c r="C35" s="257" t="s">
        <v>558</v>
      </c>
      <c r="D35" s="258" t="s">
        <v>558</v>
      </c>
      <c r="E35" s="258" t="s">
        <v>558</v>
      </c>
      <c r="F35" s="258" t="s">
        <v>558</v>
      </c>
      <c r="G35" s="252">
        <v>0</v>
      </c>
      <c r="H35" s="253">
        <v>0</v>
      </c>
      <c r="I35" s="253">
        <v>0</v>
      </c>
      <c r="J35" s="254">
        <v>0</v>
      </c>
      <c r="K35" s="252">
        <v>0</v>
      </c>
      <c r="L35" s="253">
        <v>0</v>
      </c>
      <c r="M35" s="253">
        <v>0</v>
      </c>
      <c r="N35" s="254">
        <v>0</v>
      </c>
      <c r="O35" s="252">
        <v>0</v>
      </c>
      <c r="P35" s="253">
        <v>0</v>
      </c>
      <c r="Q35" s="253">
        <v>0</v>
      </c>
      <c r="R35" s="254">
        <v>12</v>
      </c>
      <c r="S35" s="252">
        <v>1.2</v>
      </c>
      <c r="T35" s="253">
        <v>0.9</v>
      </c>
      <c r="U35" s="253">
        <v>33.4</v>
      </c>
      <c r="V35" s="254">
        <v>0</v>
      </c>
      <c r="W35" s="253">
        <v>0</v>
      </c>
      <c r="X35" s="253">
        <v>0</v>
      </c>
    </row>
    <row r="36" spans="1:25" x14ac:dyDescent="0.2">
      <c r="A36" s="269" t="s">
        <v>465</v>
      </c>
      <c r="B36" s="269" t="s">
        <v>216</v>
      </c>
      <c r="C36" s="261">
        <v>1638.9</v>
      </c>
      <c r="D36" s="262">
        <v>1748.2</v>
      </c>
      <c r="E36" s="262">
        <v>1882.9</v>
      </c>
      <c r="F36" s="262">
        <v>1787.7</v>
      </c>
      <c r="G36" s="261">
        <f t="shared" ref="G36:U36" si="1">SUM(G29:G35)</f>
        <v>2352.1999999999998</v>
      </c>
      <c r="H36" s="262">
        <f t="shared" si="1"/>
        <v>2281.7999999999997</v>
      </c>
      <c r="I36" s="262">
        <f t="shared" si="1"/>
        <v>2514.4</v>
      </c>
      <c r="J36" s="263">
        <f t="shared" si="1"/>
        <v>2902.2</v>
      </c>
      <c r="K36" s="261">
        <f t="shared" si="1"/>
        <v>2934.3999999999996</v>
      </c>
      <c r="L36" s="262">
        <f t="shared" si="1"/>
        <v>2821.9</v>
      </c>
      <c r="M36" s="262">
        <f t="shared" si="1"/>
        <v>2725.1999999999994</v>
      </c>
      <c r="N36" s="263">
        <f t="shared" si="1"/>
        <v>2744.7</v>
      </c>
      <c r="O36" s="261">
        <f t="shared" si="1"/>
        <v>2739.1</v>
      </c>
      <c r="P36" s="262">
        <f t="shared" si="1"/>
        <v>2825.7999999999997</v>
      </c>
      <c r="Q36" s="262">
        <f t="shared" si="1"/>
        <v>2909.3999999999996</v>
      </c>
      <c r="R36" s="263">
        <f t="shared" si="1"/>
        <v>2911.7</v>
      </c>
      <c r="S36" s="261">
        <f t="shared" si="1"/>
        <v>3116</v>
      </c>
      <c r="T36" s="262">
        <f t="shared" si="1"/>
        <v>3199.6000000000004</v>
      </c>
      <c r="U36" s="262">
        <f t="shared" si="1"/>
        <v>3455.6</v>
      </c>
      <c r="V36" s="263">
        <f>SUM(V29,V31:V35)</f>
        <v>3563.3</v>
      </c>
      <c r="W36" s="262">
        <f>SUM(W29,W31:W35)</f>
        <v>3766.2999999999997</v>
      </c>
      <c r="X36" s="262">
        <f>SUM(X29,X31:X35)</f>
        <v>3677.5</v>
      </c>
    </row>
    <row r="37" spans="1:25" x14ac:dyDescent="0.2">
      <c r="A37" s="255"/>
      <c r="B37" s="255"/>
      <c r="C37" s="252"/>
      <c r="D37" s="253"/>
      <c r="E37" s="253"/>
      <c r="F37" s="253"/>
      <c r="G37" s="252"/>
      <c r="H37" s="253"/>
      <c r="I37" s="253"/>
      <c r="J37" s="254"/>
      <c r="K37" s="252"/>
      <c r="L37" s="253"/>
      <c r="M37" s="253"/>
      <c r="N37" s="254"/>
      <c r="O37" s="252"/>
      <c r="P37" s="253"/>
      <c r="Q37" s="253"/>
      <c r="R37" s="254"/>
      <c r="S37" s="252"/>
      <c r="T37" s="253"/>
      <c r="U37" s="253"/>
      <c r="V37" s="254"/>
      <c r="W37" s="253"/>
      <c r="X37" s="253"/>
    </row>
    <row r="38" spans="1:25" s="275" customFormat="1" x14ac:dyDescent="0.2">
      <c r="A38" s="270" t="s">
        <v>442</v>
      </c>
      <c r="B38" s="270" t="s">
        <v>197</v>
      </c>
      <c r="C38" s="271">
        <f>ROUND((C26/(C36*12.5)),4)</f>
        <v>0.1318</v>
      </c>
      <c r="D38" s="272">
        <f t="shared" ref="D38:X38" si="2">ROUND((D26/(D36*12.5)),4)</f>
        <v>0.1255</v>
      </c>
      <c r="E38" s="272">
        <f t="shared" si="2"/>
        <v>0.1217</v>
      </c>
      <c r="F38" s="272">
        <f t="shared" si="2"/>
        <v>0.1203</v>
      </c>
      <c r="G38" s="271">
        <f t="shared" si="2"/>
        <v>0.10249999999999999</v>
      </c>
      <c r="H38" s="272">
        <f t="shared" si="2"/>
        <v>0.1033</v>
      </c>
      <c r="I38" s="272">
        <f t="shared" si="2"/>
        <v>0.11310000000000001</v>
      </c>
      <c r="J38" s="273">
        <f t="shared" si="2"/>
        <v>9.8299999999999998E-2</v>
      </c>
      <c r="K38" s="271">
        <f t="shared" si="2"/>
        <v>9.3899999999999997E-2</v>
      </c>
      <c r="L38" s="272">
        <f t="shared" si="2"/>
        <v>9.9299999999999999E-2</v>
      </c>
      <c r="M38" s="272">
        <f t="shared" si="2"/>
        <v>0.11210000000000001</v>
      </c>
      <c r="N38" s="273">
        <f t="shared" si="2"/>
        <v>0.1124</v>
      </c>
      <c r="O38" s="271">
        <f t="shared" si="2"/>
        <v>0.12180000000000001</v>
      </c>
      <c r="P38" s="272">
        <f t="shared" si="2"/>
        <v>0.1159</v>
      </c>
      <c r="Q38" s="272">
        <f t="shared" si="2"/>
        <v>0.1236</v>
      </c>
      <c r="R38" s="273">
        <f t="shared" si="2"/>
        <v>0.122</v>
      </c>
      <c r="S38" s="271">
        <f t="shared" si="2"/>
        <v>0.1173</v>
      </c>
      <c r="T38" s="272">
        <f t="shared" si="2"/>
        <v>0.11609999999999999</v>
      </c>
      <c r="U38" s="272">
        <f t="shared" si="2"/>
        <v>0.1178</v>
      </c>
      <c r="V38" s="273">
        <f t="shared" si="2"/>
        <v>0.1158</v>
      </c>
      <c r="W38" s="272">
        <f t="shared" si="2"/>
        <v>0.1157</v>
      </c>
      <c r="X38" s="272">
        <f t="shared" si="2"/>
        <v>0.124</v>
      </c>
      <c r="Y38" s="274"/>
    </row>
    <row r="41" spans="1:25" ht="25.15" customHeight="1" x14ac:dyDescent="0.2">
      <c r="A41" s="336" t="s">
        <v>732</v>
      </c>
      <c r="B41" s="336" t="s">
        <v>731</v>
      </c>
      <c r="C41" s="241" t="s">
        <v>523</v>
      </c>
      <c r="D41" s="242" t="s">
        <v>524</v>
      </c>
      <c r="E41" s="242" t="s">
        <v>525</v>
      </c>
      <c r="F41" s="242" t="s">
        <v>526</v>
      </c>
      <c r="G41" s="241" t="s">
        <v>527</v>
      </c>
      <c r="H41" s="242" t="s">
        <v>528</v>
      </c>
      <c r="I41" s="242" t="s">
        <v>529</v>
      </c>
      <c r="J41" s="243" t="s">
        <v>530</v>
      </c>
      <c r="K41" s="241" t="s">
        <v>531</v>
      </c>
      <c r="L41" s="242" t="s">
        <v>532</v>
      </c>
      <c r="M41" s="242" t="s">
        <v>533</v>
      </c>
      <c r="N41" s="243" t="s">
        <v>534</v>
      </c>
      <c r="O41" s="241" t="s">
        <v>535</v>
      </c>
      <c r="P41" s="242" t="s">
        <v>536</v>
      </c>
      <c r="Q41" s="242" t="s">
        <v>537</v>
      </c>
      <c r="R41" s="243" t="s">
        <v>538</v>
      </c>
      <c r="S41" s="241" t="s">
        <v>539</v>
      </c>
      <c r="T41" s="242" t="s">
        <v>540</v>
      </c>
      <c r="U41" s="242" t="s">
        <v>541</v>
      </c>
      <c r="V41" s="243" t="s">
        <v>542</v>
      </c>
      <c r="W41" s="242" t="s">
        <v>543</v>
      </c>
      <c r="X41" s="242" t="s">
        <v>543</v>
      </c>
    </row>
    <row r="42" spans="1:25" ht="12.75" customHeight="1" x14ac:dyDescent="0.2">
      <c r="A42" s="245" t="s">
        <v>258</v>
      </c>
      <c r="B42" s="245" t="s">
        <v>15</v>
      </c>
      <c r="C42" s="246"/>
      <c r="D42" s="247"/>
      <c r="E42" s="248"/>
      <c r="F42" s="247"/>
      <c r="G42" s="246"/>
      <c r="H42" s="247"/>
      <c r="I42" s="248"/>
      <c r="J42" s="250"/>
      <c r="K42" s="246"/>
      <c r="L42" s="247"/>
      <c r="M42" s="248"/>
      <c r="N42" s="250"/>
      <c r="O42" s="246"/>
      <c r="P42" s="247"/>
      <c r="Q42" s="248"/>
      <c r="R42" s="250"/>
      <c r="S42" s="246"/>
      <c r="T42" s="247"/>
      <c r="U42" s="248"/>
      <c r="V42" s="250"/>
      <c r="W42" s="248"/>
      <c r="X42" s="248"/>
    </row>
    <row r="43" spans="1:25" s="379" customFormat="1" ht="14.25" x14ac:dyDescent="0.2">
      <c r="A43" s="374" t="s">
        <v>733</v>
      </c>
      <c r="B43" s="374" t="s">
        <v>610</v>
      </c>
      <c r="C43" s="375"/>
      <c r="D43" s="376"/>
      <c r="E43" s="376"/>
      <c r="F43" s="377"/>
      <c r="G43" s="375"/>
      <c r="H43" s="376"/>
      <c r="I43" s="376"/>
      <c r="J43" s="377"/>
      <c r="K43" s="376"/>
      <c r="L43" s="376"/>
      <c r="M43" s="376"/>
      <c r="N43" s="376"/>
      <c r="O43" s="375"/>
      <c r="P43" s="376"/>
      <c r="Q43" s="376"/>
      <c r="R43" s="377"/>
      <c r="S43" s="376"/>
      <c r="T43" s="376"/>
      <c r="U43" s="376"/>
      <c r="V43" s="376"/>
      <c r="W43" s="375"/>
      <c r="X43" s="376"/>
      <c r="Y43" s="378"/>
    </row>
    <row r="44" spans="1:25" x14ac:dyDescent="0.2">
      <c r="A44" s="280" t="s">
        <v>663</v>
      </c>
      <c r="B44" s="280" t="s">
        <v>611</v>
      </c>
      <c r="C44" s="281">
        <f t="shared" ref="C44:X44" si="3">SUM(C45,C55,C57)</f>
        <v>3726.7</v>
      </c>
      <c r="D44" s="282">
        <f t="shared" si="3"/>
        <v>3504.9999999999995</v>
      </c>
      <c r="E44" s="282">
        <f t="shared" si="3"/>
        <v>3665.7999999999993</v>
      </c>
      <c r="F44" s="283">
        <f t="shared" si="3"/>
        <v>3669.5</v>
      </c>
      <c r="G44" s="281">
        <f t="shared" si="3"/>
        <v>3820.2999999999993</v>
      </c>
      <c r="H44" s="282">
        <f t="shared" si="3"/>
        <v>3863.5000000000005</v>
      </c>
      <c r="I44" s="282">
        <f t="shared" si="3"/>
        <v>4143.3</v>
      </c>
      <c r="J44" s="283">
        <f t="shared" si="3"/>
        <v>4066.6000000000004</v>
      </c>
      <c r="K44" s="282">
        <f t="shared" si="3"/>
        <v>4111.3999999999996</v>
      </c>
      <c r="L44" s="282">
        <f t="shared" si="3"/>
        <v>4409.7</v>
      </c>
      <c r="M44" s="282">
        <f t="shared" si="3"/>
        <v>4615.7</v>
      </c>
      <c r="N44" s="282">
        <f t="shared" si="3"/>
        <v>4730.8</v>
      </c>
      <c r="O44" s="281">
        <f t="shared" si="3"/>
        <v>4962.2999999999993</v>
      </c>
      <c r="P44" s="282">
        <f t="shared" si="3"/>
        <v>5103.6000000000004</v>
      </c>
      <c r="Q44" s="282">
        <f t="shared" si="3"/>
        <v>5326.7000000000007</v>
      </c>
      <c r="R44" s="283">
        <f t="shared" si="3"/>
        <v>5437.8000000000011</v>
      </c>
      <c r="S44" s="282">
        <f t="shared" si="3"/>
        <v>5545.8000000000011</v>
      </c>
      <c r="T44" s="282">
        <f t="shared" si="3"/>
        <v>5793.8</v>
      </c>
      <c r="U44" s="282">
        <f t="shared" si="3"/>
        <v>6019.2</v>
      </c>
      <c r="V44" s="282">
        <f t="shared" si="3"/>
        <v>6231.5000000000009</v>
      </c>
      <c r="W44" s="281">
        <f t="shared" si="3"/>
        <v>6525.5999999999995</v>
      </c>
      <c r="X44" s="282">
        <f t="shared" si="3"/>
        <v>6767.7999999999993</v>
      </c>
    </row>
    <row r="45" spans="1:25" x14ac:dyDescent="0.2">
      <c r="A45" s="280" t="s">
        <v>671</v>
      </c>
      <c r="B45" s="280" t="s">
        <v>612</v>
      </c>
      <c r="C45" s="281">
        <f t="shared" ref="C45:X45" si="4">SUM(C46:C54)</f>
        <v>3032.6</v>
      </c>
      <c r="D45" s="282">
        <f t="shared" si="4"/>
        <v>3145.3999999999996</v>
      </c>
      <c r="E45" s="282">
        <f t="shared" si="4"/>
        <v>3134.9999999999995</v>
      </c>
      <c r="F45" s="283">
        <f t="shared" si="4"/>
        <v>3059.2999999999997</v>
      </c>
      <c r="G45" s="281">
        <f t="shared" si="4"/>
        <v>3461.9999999999995</v>
      </c>
      <c r="H45" s="282">
        <f t="shared" si="4"/>
        <v>3388.3</v>
      </c>
      <c r="I45" s="282">
        <f t="shared" si="4"/>
        <v>3952.3</v>
      </c>
      <c r="J45" s="283">
        <f t="shared" si="4"/>
        <v>3980.3</v>
      </c>
      <c r="K45" s="282">
        <f t="shared" si="4"/>
        <v>3961.1</v>
      </c>
      <c r="L45" s="282">
        <f t="shared" si="4"/>
        <v>4036.8999999999996</v>
      </c>
      <c r="M45" s="282">
        <f t="shared" si="4"/>
        <v>4361.2999999999993</v>
      </c>
      <c r="N45" s="282">
        <f t="shared" si="4"/>
        <v>4396.5</v>
      </c>
      <c r="O45" s="281">
        <f t="shared" si="4"/>
        <v>4685.0999999999995</v>
      </c>
      <c r="P45" s="282">
        <f t="shared" si="4"/>
        <v>4664.6000000000004</v>
      </c>
      <c r="Q45" s="282">
        <f t="shared" si="4"/>
        <v>5032.0000000000009</v>
      </c>
      <c r="R45" s="283">
        <f t="shared" si="4"/>
        <v>5032.1000000000004</v>
      </c>
      <c r="S45" s="282">
        <f t="shared" si="4"/>
        <v>5129.4000000000005</v>
      </c>
      <c r="T45" s="282">
        <f t="shared" si="4"/>
        <v>5180.5999999999995</v>
      </c>
      <c r="U45" s="282">
        <f t="shared" si="4"/>
        <v>5671.2</v>
      </c>
      <c r="V45" s="282">
        <f t="shared" si="4"/>
        <v>5668.8000000000011</v>
      </c>
      <c r="W45" s="281">
        <f t="shared" si="4"/>
        <v>6086.0999999999995</v>
      </c>
      <c r="X45" s="282">
        <f t="shared" si="4"/>
        <v>6305.4</v>
      </c>
    </row>
    <row r="46" spans="1:25" s="289" customFormat="1" x14ac:dyDescent="0.2">
      <c r="A46" s="284" t="s">
        <v>664</v>
      </c>
      <c r="B46" s="284" t="s">
        <v>613</v>
      </c>
      <c r="C46" s="285">
        <v>130.1</v>
      </c>
      <c r="D46" s="286">
        <v>130.1</v>
      </c>
      <c r="E46" s="286">
        <v>130.1</v>
      </c>
      <c r="F46" s="287">
        <v>130.1</v>
      </c>
      <c r="G46" s="285">
        <v>130.1</v>
      </c>
      <c r="H46" s="286">
        <v>130.1</v>
      </c>
      <c r="I46" s="286">
        <v>130.1</v>
      </c>
      <c r="J46" s="287">
        <v>130.1</v>
      </c>
      <c r="K46" s="286">
        <v>130.1</v>
      </c>
      <c r="L46" s="286">
        <v>130.1</v>
      </c>
      <c r="M46" s="286">
        <v>130.1</v>
      </c>
      <c r="N46" s="286">
        <v>130.1</v>
      </c>
      <c r="O46" s="285">
        <v>130.1</v>
      </c>
      <c r="P46" s="286">
        <v>130.1</v>
      </c>
      <c r="Q46" s="286">
        <v>130.1</v>
      </c>
      <c r="R46" s="287">
        <v>130.1</v>
      </c>
      <c r="S46" s="286">
        <v>130.1</v>
      </c>
      <c r="T46" s="286">
        <v>130.1</v>
      </c>
      <c r="U46" s="286">
        <v>130.1</v>
      </c>
      <c r="V46" s="286">
        <v>130.1</v>
      </c>
      <c r="W46" s="285">
        <v>130.1</v>
      </c>
      <c r="X46" s="286">
        <v>130.1</v>
      </c>
      <c r="Y46" s="288"/>
    </row>
    <row r="47" spans="1:25" s="289" customFormat="1" x14ac:dyDescent="0.2">
      <c r="A47" s="284" t="s">
        <v>665</v>
      </c>
      <c r="B47" s="284" t="s">
        <v>614</v>
      </c>
      <c r="C47" s="285">
        <v>956.3</v>
      </c>
      <c r="D47" s="286">
        <v>956.3</v>
      </c>
      <c r="E47" s="286">
        <v>956.3</v>
      </c>
      <c r="F47" s="287">
        <v>956.3</v>
      </c>
      <c r="G47" s="285">
        <v>956.3</v>
      </c>
      <c r="H47" s="286">
        <v>956.3</v>
      </c>
      <c r="I47" s="286">
        <v>956.3</v>
      </c>
      <c r="J47" s="287">
        <v>956.3</v>
      </c>
      <c r="K47" s="286">
        <v>956.3</v>
      </c>
      <c r="L47" s="286">
        <v>956.3</v>
      </c>
      <c r="M47" s="286">
        <v>956.3</v>
      </c>
      <c r="N47" s="286">
        <v>956.3</v>
      </c>
      <c r="O47" s="285">
        <v>956.3</v>
      </c>
      <c r="P47" s="286">
        <v>956.3</v>
      </c>
      <c r="Q47" s="286">
        <v>956.3</v>
      </c>
      <c r="R47" s="287">
        <v>956.3</v>
      </c>
      <c r="S47" s="286">
        <v>956.3</v>
      </c>
      <c r="T47" s="286">
        <v>956.3</v>
      </c>
      <c r="U47" s="286">
        <v>956.3</v>
      </c>
      <c r="V47" s="286">
        <v>956.3</v>
      </c>
      <c r="W47" s="285">
        <v>956.3</v>
      </c>
      <c r="X47" s="286">
        <v>956.3</v>
      </c>
      <c r="Y47" s="288"/>
    </row>
    <row r="48" spans="1:25" s="289" customFormat="1" x14ac:dyDescent="0.2">
      <c r="A48" s="284" t="s">
        <v>666</v>
      </c>
      <c r="B48" s="284" t="s">
        <v>615</v>
      </c>
      <c r="C48" s="285">
        <v>61.1</v>
      </c>
      <c r="D48" s="286">
        <v>61.4</v>
      </c>
      <c r="E48" s="286">
        <v>61.3</v>
      </c>
      <c r="F48" s="287">
        <v>61.8</v>
      </c>
      <c r="G48" s="285">
        <v>61.8</v>
      </c>
      <c r="H48" s="286">
        <v>61.9</v>
      </c>
      <c r="I48" s="286">
        <v>61.9</v>
      </c>
      <c r="J48" s="287">
        <v>62.9</v>
      </c>
      <c r="K48" s="286">
        <v>62.9</v>
      </c>
      <c r="L48" s="286">
        <v>62.9</v>
      </c>
      <c r="M48" s="286">
        <v>62.9</v>
      </c>
      <c r="N48" s="286">
        <v>62.9</v>
      </c>
      <c r="O48" s="285">
        <v>62.9</v>
      </c>
      <c r="P48" s="286">
        <v>62.9</v>
      </c>
      <c r="Q48" s="286">
        <v>62.9</v>
      </c>
      <c r="R48" s="287">
        <v>62.9</v>
      </c>
      <c r="S48" s="286">
        <v>62.9</v>
      </c>
      <c r="T48" s="286">
        <v>62.9</v>
      </c>
      <c r="U48" s="286">
        <v>62.9</v>
      </c>
      <c r="V48" s="286">
        <v>65</v>
      </c>
      <c r="W48" s="285">
        <v>65.099999999999994</v>
      </c>
      <c r="X48" s="286">
        <v>65.099999999999994</v>
      </c>
      <c r="Y48" s="288"/>
    </row>
    <row r="49" spans="1:25" s="289" customFormat="1" x14ac:dyDescent="0.2">
      <c r="A49" s="284" t="s">
        <v>667</v>
      </c>
      <c r="B49" s="284" t="s">
        <v>616</v>
      </c>
      <c r="C49" s="285">
        <v>1359.5</v>
      </c>
      <c r="D49" s="286">
        <v>1487.1</v>
      </c>
      <c r="E49" s="286">
        <v>1487.1</v>
      </c>
      <c r="F49" s="287">
        <v>1487.1</v>
      </c>
      <c r="G49" s="285">
        <v>1487.1</v>
      </c>
      <c r="H49" s="286">
        <v>1745</v>
      </c>
      <c r="I49" s="286">
        <v>1745</v>
      </c>
      <c r="J49" s="287">
        <v>1745</v>
      </c>
      <c r="K49" s="286">
        <v>1745</v>
      </c>
      <c r="L49" s="286">
        <v>2140.6</v>
      </c>
      <c r="M49" s="286">
        <v>2140.6</v>
      </c>
      <c r="N49" s="286">
        <v>2140.6</v>
      </c>
      <c r="O49" s="285">
        <v>2140.6</v>
      </c>
      <c r="P49" s="286">
        <v>2662.7</v>
      </c>
      <c r="Q49" s="286">
        <v>2662.7</v>
      </c>
      <c r="R49" s="287">
        <v>2662.7</v>
      </c>
      <c r="S49" s="286">
        <v>2662.7</v>
      </c>
      <c r="T49" s="286">
        <v>3109.9</v>
      </c>
      <c r="U49" s="286">
        <v>3109.9</v>
      </c>
      <c r="V49" s="286">
        <v>3109.9</v>
      </c>
      <c r="W49" s="285">
        <v>3109.9</v>
      </c>
      <c r="X49" s="286">
        <v>3963.7</v>
      </c>
      <c r="Y49" s="288"/>
    </row>
    <row r="50" spans="1:25" s="289" customFormat="1" x14ac:dyDescent="0.2">
      <c r="A50" s="284" t="s">
        <v>668</v>
      </c>
      <c r="B50" s="284" t="s">
        <v>617</v>
      </c>
      <c r="C50" s="285">
        <v>480.1</v>
      </c>
      <c r="D50" s="286">
        <v>530.1</v>
      </c>
      <c r="E50" s="286">
        <v>530.1</v>
      </c>
      <c r="F50" s="287">
        <v>530.1</v>
      </c>
      <c r="G50" s="285">
        <v>530.1</v>
      </c>
      <c r="H50" s="286">
        <v>730.1</v>
      </c>
      <c r="I50" s="286">
        <v>730.1</v>
      </c>
      <c r="J50" s="287">
        <v>730.1</v>
      </c>
      <c r="K50" s="286">
        <v>730.1</v>
      </c>
      <c r="L50" s="286">
        <v>790.1</v>
      </c>
      <c r="M50" s="286">
        <v>790.1</v>
      </c>
      <c r="N50" s="286">
        <v>790.1</v>
      </c>
      <c r="O50" s="285">
        <v>790.1</v>
      </c>
      <c r="P50" s="286">
        <v>850.1</v>
      </c>
      <c r="Q50" s="286">
        <v>850.1</v>
      </c>
      <c r="R50" s="287">
        <v>850.1</v>
      </c>
      <c r="S50" s="286">
        <v>850.1</v>
      </c>
      <c r="T50" s="286">
        <v>910.2</v>
      </c>
      <c r="U50" s="286">
        <v>910.2</v>
      </c>
      <c r="V50" s="286">
        <v>910.1</v>
      </c>
      <c r="W50" s="285">
        <v>910.1</v>
      </c>
      <c r="X50" s="286">
        <v>960.2</v>
      </c>
      <c r="Y50" s="288"/>
    </row>
    <row r="51" spans="1:25" s="289" customFormat="1" x14ac:dyDescent="0.2">
      <c r="A51" s="284" t="s">
        <v>669</v>
      </c>
      <c r="B51" s="284" t="s">
        <v>618</v>
      </c>
      <c r="C51" s="285">
        <v>5.1000000000000227</v>
      </c>
      <c r="D51" s="286">
        <v>5.3</v>
      </c>
      <c r="E51" s="286">
        <v>6.8</v>
      </c>
      <c r="F51" s="287">
        <v>6.3</v>
      </c>
      <c r="G51" s="285">
        <v>464.00000000000006</v>
      </c>
      <c r="H51" s="286">
        <v>5.4</v>
      </c>
      <c r="I51" s="286">
        <v>5.4</v>
      </c>
      <c r="J51" s="287">
        <v>6</v>
      </c>
      <c r="K51" s="286">
        <v>461.6</v>
      </c>
      <c r="L51" s="286">
        <v>20.200000000000003</v>
      </c>
      <c r="M51" s="286">
        <v>21.1</v>
      </c>
      <c r="N51" s="286">
        <v>21.900000000000002</v>
      </c>
      <c r="O51" s="285">
        <v>605.1</v>
      </c>
      <c r="P51" s="286">
        <v>6.3999999999999995</v>
      </c>
      <c r="Q51" s="286">
        <v>8.1</v>
      </c>
      <c r="R51" s="287">
        <v>8.1999999999999993</v>
      </c>
      <c r="S51" s="286">
        <v>517.30000000000007</v>
      </c>
      <c r="T51" s="286">
        <v>11.200000000000001</v>
      </c>
      <c r="U51" s="286">
        <v>12.4</v>
      </c>
      <c r="V51" s="286">
        <v>12.1</v>
      </c>
      <c r="W51" s="285">
        <v>915.9</v>
      </c>
      <c r="X51" s="286">
        <v>13.1</v>
      </c>
      <c r="Y51" s="288"/>
    </row>
    <row r="52" spans="1:25" s="291" customFormat="1" x14ac:dyDescent="0.2">
      <c r="A52" s="284" t="s">
        <v>678</v>
      </c>
      <c r="B52" s="284" t="s">
        <v>619</v>
      </c>
      <c r="C52" s="285">
        <v>0</v>
      </c>
      <c r="D52" s="286">
        <v>0</v>
      </c>
      <c r="E52" s="286">
        <v>0</v>
      </c>
      <c r="F52" s="287">
        <v>0</v>
      </c>
      <c r="G52" s="285">
        <v>0</v>
      </c>
      <c r="H52" s="286">
        <v>0</v>
      </c>
      <c r="I52" s="286">
        <v>457.4</v>
      </c>
      <c r="J52" s="287">
        <v>455.6</v>
      </c>
      <c r="K52" s="286">
        <v>0</v>
      </c>
      <c r="L52" s="286">
        <v>0</v>
      </c>
      <c r="M52" s="286">
        <v>299.8</v>
      </c>
      <c r="N52" s="286">
        <v>299.8</v>
      </c>
      <c r="O52" s="285">
        <v>0</v>
      </c>
      <c r="P52" s="286">
        <v>0</v>
      </c>
      <c r="Q52" s="286">
        <v>361.8</v>
      </c>
      <c r="R52" s="287">
        <v>361.8</v>
      </c>
      <c r="S52" s="286">
        <v>0</v>
      </c>
      <c r="T52" s="286">
        <v>0</v>
      </c>
      <c r="U52" s="286">
        <v>501.3</v>
      </c>
      <c r="V52" s="286">
        <v>501.3</v>
      </c>
      <c r="W52" s="285">
        <v>0</v>
      </c>
      <c r="X52" s="286">
        <v>222.4</v>
      </c>
      <c r="Y52" s="290"/>
    </row>
    <row r="53" spans="1:25" s="289" customFormat="1" ht="22.5" x14ac:dyDescent="0.2">
      <c r="A53" s="292" t="s">
        <v>670</v>
      </c>
      <c r="B53" s="292" t="s">
        <v>621</v>
      </c>
      <c r="C53" s="285">
        <v>0</v>
      </c>
      <c r="D53" s="286">
        <v>-65.099999999999994</v>
      </c>
      <c r="E53" s="286">
        <v>-76.900000000000006</v>
      </c>
      <c r="F53" s="287">
        <v>-149.6</v>
      </c>
      <c r="G53" s="285">
        <v>-163.5</v>
      </c>
      <c r="H53" s="286">
        <v>-240.5</v>
      </c>
      <c r="I53" s="286">
        <v>-133.9</v>
      </c>
      <c r="J53" s="287">
        <v>-105.7</v>
      </c>
      <c r="K53" s="286">
        <v>-124.9</v>
      </c>
      <c r="L53" s="286">
        <v>-63.3</v>
      </c>
      <c r="M53" s="286">
        <v>-39.6</v>
      </c>
      <c r="N53" s="286">
        <v>-5.2</v>
      </c>
      <c r="O53" s="285">
        <v>0</v>
      </c>
      <c r="P53" s="286">
        <v>-3.9</v>
      </c>
      <c r="Q53" s="286">
        <v>0</v>
      </c>
      <c r="R53" s="287">
        <v>0</v>
      </c>
      <c r="S53" s="286">
        <v>-50</v>
      </c>
      <c r="T53" s="286">
        <v>0</v>
      </c>
      <c r="U53" s="286">
        <v>-11.9</v>
      </c>
      <c r="V53" s="286">
        <v>-16</v>
      </c>
      <c r="W53" s="285">
        <v>-1.3</v>
      </c>
      <c r="X53" s="286">
        <v>-5.5</v>
      </c>
      <c r="Y53" s="288"/>
    </row>
    <row r="54" spans="1:25" s="289" customFormat="1" x14ac:dyDescent="0.2">
      <c r="A54" s="292" t="s">
        <v>718</v>
      </c>
      <c r="B54" s="292" t="s">
        <v>622</v>
      </c>
      <c r="C54" s="285">
        <v>40.4</v>
      </c>
      <c r="D54" s="286">
        <v>40.200000000000003</v>
      </c>
      <c r="E54" s="286">
        <v>40.200000000000003</v>
      </c>
      <c r="F54" s="287">
        <v>37.200000000000003</v>
      </c>
      <c r="G54" s="293">
        <v>-3.9</v>
      </c>
      <c r="H54" s="294">
        <v>0</v>
      </c>
      <c r="I54" s="294">
        <v>0</v>
      </c>
      <c r="J54" s="295">
        <v>0</v>
      </c>
      <c r="K54" s="294">
        <v>0</v>
      </c>
      <c r="L54" s="294">
        <v>0</v>
      </c>
      <c r="M54" s="294">
        <v>0</v>
      </c>
      <c r="N54" s="294">
        <v>0</v>
      </c>
      <c r="O54" s="293">
        <v>0</v>
      </c>
      <c r="P54" s="294">
        <v>0</v>
      </c>
      <c r="Q54" s="294">
        <v>0</v>
      </c>
      <c r="R54" s="295">
        <v>0</v>
      </c>
      <c r="S54" s="294">
        <v>0</v>
      </c>
      <c r="T54" s="294">
        <v>0</v>
      </c>
      <c r="U54" s="294">
        <v>0</v>
      </c>
      <c r="V54" s="294">
        <v>0</v>
      </c>
      <c r="W54" s="293">
        <v>0</v>
      </c>
      <c r="X54" s="294">
        <v>0</v>
      </c>
      <c r="Y54" s="288"/>
    </row>
    <row r="55" spans="1:25" x14ac:dyDescent="0.2">
      <c r="A55" s="280" t="s">
        <v>672</v>
      </c>
      <c r="B55" s="280" t="s">
        <v>623</v>
      </c>
      <c r="C55" s="281">
        <f t="shared" ref="C55:W55" si="5">SUM(C56)</f>
        <v>22.1</v>
      </c>
      <c r="D55" s="282">
        <f t="shared" si="5"/>
        <v>0</v>
      </c>
      <c r="E55" s="282">
        <f t="shared" si="5"/>
        <v>0</v>
      </c>
      <c r="F55" s="283">
        <f t="shared" si="5"/>
        <v>0</v>
      </c>
      <c r="G55" s="281">
        <f t="shared" si="5"/>
        <v>9.6999999999999993</v>
      </c>
      <c r="H55" s="282">
        <f t="shared" si="5"/>
        <v>0.9</v>
      </c>
      <c r="I55" s="282">
        <f t="shared" si="5"/>
        <v>3.9</v>
      </c>
      <c r="J55" s="283">
        <f t="shared" si="5"/>
        <v>2.9</v>
      </c>
      <c r="K55" s="282">
        <f t="shared" si="5"/>
        <v>3.4</v>
      </c>
      <c r="L55" s="282">
        <f t="shared" si="5"/>
        <v>1.8</v>
      </c>
      <c r="M55" s="282">
        <f t="shared" si="5"/>
        <v>1.8</v>
      </c>
      <c r="N55" s="282">
        <f t="shared" si="5"/>
        <v>2.8</v>
      </c>
      <c r="O55" s="281">
        <f t="shared" si="5"/>
        <v>34.9</v>
      </c>
      <c r="P55" s="282">
        <f t="shared" si="5"/>
        <v>0</v>
      </c>
      <c r="Q55" s="282">
        <f t="shared" si="5"/>
        <v>31.7</v>
      </c>
      <c r="R55" s="283">
        <f t="shared" si="5"/>
        <v>7.6</v>
      </c>
      <c r="S55" s="282">
        <f t="shared" si="5"/>
        <v>3.3</v>
      </c>
      <c r="T55" s="282">
        <f t="shared" si="5"/>
        <v>44.1</v>
      </c>
      <c r="U55" s="282">
        <f t="shared" si="5"/>
        <v>16.8</v>
      </c>
      <c r="V55" s="282">
        <f t="shared" si="5"/>
        <v>32.9</v>
      </c>
      <c r="W55" s="281">
        <f t="shared" si="5"/>
        <v>99.5</v>
      </c>
      <c r="X55" s="282">
        <f>SUM(X56)</f>
        <v>126.9</v>
      </c>
    </row>
    <row r="56" spans="1:25" s="289" customFormat="1" ht="22.5" x14ac:dyDescent="0.2">
      <c r="A56" s="292" t="s">
        <v>670</v>
      </c>
      <c r="B56" s="292" t="s">
        <v>624</v>
      </c>
      <c r="C56" s="285">
        <v>22.1</v>
      </c>
      <c r="D56" s="286">
        <v>0</v>
      </c>
      <c r="E56" s="286">
        <v>0</v>
      </c>
      <c r="F56" s="287">
        <v>0</v>
      </c>
      <c r="G56" s="285">
        <v>9.6999999999999993</v>
      </c>
      <c r="H56" s="286">
        <v>0.9</v>
      </c>
      <c r="I56" s="286">
        <v>3.9</v>
      </c>
      <c r="J56" s="287">
        <v>2.9</v>
      </c>
      <c r="K56" s="286">
        <v>3.4</v>
      </c>
      <c r="L56" s="286">
        <v>1.8</v>
      </c>
      <c r="M56" s="286">
        <v>1.8</v>
      </c>
      <c r="N56" s="286">
        <v>2.8</v>
      </c>
      <c r="O56" s="285">
        <v>34.9</v>
      </c>
      <c r="P56" s="286">
        <v>0</v>
      </c>
      <c r="Q56" s="286">
        <v>31.7</v>
      </c>
      <c r="R56" s="287">
        <v>7.6</v>
      </c>
      <c r="S56" s="286">
        <v>3.3</v>
      </c>
      <c r="T56" s="286">
        <v>44.1</v>
      </c>
      <c r="U56" s="286">
        <v>16.8</v>
      </c>
      <c r="V56" s="286">
        <v>32.9</v>
      </c>
      <c r="W56" s="285">
        <v>99.5</v>
      </c>
      <c r="X56" s="286">
        <v>126.9</v>
      </c>
      <c r="Y56" s="288"/>
    </row>
    <row r="57" spans="1:25" x14ac:dyDescent="0.2">
      <c r="A57" s="296" t="s">
        <v>673</v>
      </c>
      <c r="B57" s="296" t="s">
        <v>625</v>
      </c>
      <c r="C57" s="297">
        <f t="shared" ref="C57:X57" si="6">SUM(C58:C64)</f>
        <v>672</v>
      </c>
      <c r="D57" s="298">
        <f t="shared" si="6"/>
        <v>359.6</v>
      </c>
      <c r="E57" s="298">
        <f t="shared" si="6"/>
        <v>530.79999999999995</v>
      </c>
      <c r="F57" s="299">
        <f t="shared" si="6"/>
        <v>610.20000000000005</v>
      </c>
      <c r="G57" s="297">
        <f t="shared" si="6"/>
        <v>348.59999999999997</v>
      </c>
      <c r="H57" s="298">
        <f t="shared" si="6"/>
        <v>474.3</v>
      </c>
      <c r="I57" s="298">
        <f t="shared" si="6"/>
        <v>187.10000000000002</v>
      </c>
      <c r="J57" s="299">
        <f t="shared" si="6"/>
        <v>83.4</v>
      </c>
      <c r="K57" s="298">
        <f t="shared" si="6"/>
        <v>146.9</v>
      </c>
      <c r="L57" s="298">
        <f t="shared" si="6"/>
        <v>371</v>
      </c>
      <c r="M57" s="298">
        <f t="shared" si="6"/>
        <v>252.6</v>
      </c>
      <c r="N57" s="298">
        <f t="shared" si="6"/>
        <v>331.5</v>
      </c>
      <c r="O57" s="297">
        <f t="shared" si="6"/>
        <v>242.3</v>
      </c>
      <c r="P57" s="298">
        <f t="shared" si="6"/>
        <v>439</v>
      </c>
      <c r="Q57" s="298">
        <f t="shared" si="6"/>
        <v>263</v>
      </c>
      <c r="R57" s="299">
        <f t="shared" si="6"/>
        <v>398.09999999999997</v>
      </c>
      <c r="S57" s="298">
        <f t="shared" si="6"/>
        <v>413.1</v>
      </c>
      <c r="T57" s="298">
        <f t="shared" si="6"/>
        <v>569.1</v>
      </c>
      <c r="U57" s="298">
        <f t="shared" si="6"/>
        <v>331.20000000000005</v>
      </c>
      <c r="V57" s="298">
        <f t="shared" si="6"/>
        <v>529.79999999999995</v>
      </c>
      <c r="W57" s="297">
        <f t="shared" si="6"/>
        <v>340</v>
      </c>
      <c r="X57" s="298">
        <f t="shared" si="6"/>
        <v>335.5</v>
      </c>
    </row>
    <row r="58" spans="1:25" s="289" customFormat="1" x14ac:dyDescent="0.2">
      <c r="A58" s="284" t="s">
        <v>674</v>
      </c>
      <c r="B58" s="284" t="s">
        <v>626</v>
      </c>
      <c r="C58" s="285">
        <v>0</v>
      </c>
      <c r="D58" s="286">
        <v>0</v>
      </c>
      <c r="E58" s="286">
        <v>0</v>
      </c>
      <c r="F58" s="287">
        <v>0</v>
      </c>
      <c r="G58" s="285">
        <v>9.899999999999995</v>
      </c>
      <c r="H58" s="286">
        <v>0.50000000000000566</v>
      </c>
      <c r="I58" s="286">
        <v>2.5000000000000058</v>
      </c>
      <c r="J58" s="287">
        <v>1.8000000000000029</v>
      </c>
      <c r="K58" s="286">
        <v>2.3000000000000029</v>
      </c>
      <c r="L58" s="286">
        <v>1.3000000000000014</v>
      </c>
      <c r="M58" s="286">
        <v>1.2</v>
      </c>
      <c r="N58" s="286">
        <v>1.0000000000000004</v>
      </c>
      <c r="O58" s="285">
        <v>12.600000000000001</v>
      </c>
      <c r="P58" s="286">
        <v>0</v>
      </c>
      <c r="Q58" s="286">
        <v>11.2</v>
      </c>
      <c r="R58" s="287">
        <v>0.5</v>
      </c>
      <c r="S58" s="286">
        <v>0</v>
      </c>
      <c r="T58" s="286">
        <v>0.89999999999999858</v>
      </c>
      <c r="U58" s="286">
        <v>0.69999999999999929</v>
      </c>
      <c r="V58" s="286">
        <v>3.5</v>
      </c>
      <c r="W58" s="285">
        <v>0.89999999999999147</v>
      </c>
      <c r="X58" s="286">
        <v>1.5999999999999943</v>
      </c>
      <c r="Y58" s="288"/>
    </row>
    <row r="59" spans="1:25" s="289" customFormat="1" x14ac:dyDescent="0.2">
      <c r="A59" s="284" t="s">
        <v>675</v>
      </c>
      <c r="B59" s="284" t="s">
        <v>627</v>
      </c>
      <c r="C59" s="293">
        <v>0</v>
      </c>
      <c r="D59" s="294">
        <v>0</v>
      </c>
      <c r="E59" s="294">
        <v>0</v>
      </c>
      <c r="F59" s="295">
        <v>0</v>
      </c>
      <c r="G59" s="285">
        <v>37</v>
      </c>
      <c r="H59" s="286">
        <v>36.6</v>
      </c>
      <c r="I59" s="286">
        <v>36</v>
      </c>
      <c r="J59" s="287">
        <v>36</v>
      </c>
      <c r="K59" s="286">
        <v>36</v>
      </c>
      <c r="L59" s="286">
        <v>36</v>
      </c>
      <c r="M59" s="286">
        <v>36</v>
      </c>
      <c r="N59" s="286">
        <v>33.4</v>
      </c>
      <c r="O59" s="285">
        <v>33.4</v>
      </c>
      <c r="P59" s="286">
        <v>33.4</v>
      </c>
      <c r="Q59" s="286">
        <v>32.5</v>
      </c>
      <c r="R59" s="287">
        <v>35.6</v>
      </c>
      <c r="S59" s="286">
        <v>34.200000000000003</v>
      </c>
      <c r="T59" s="286">
        <v>34</v>
      </c>
      <c r="U59" s="286">
        <v>33</v>
      </c>
      <c r="V59" s="286">
        <v>34.799999999999997</v>
      </c>
      <c r="W59" s="285">
        <v>34.1</v>
      </c>
      <c r="X59" s="286">
        <v>33.6</v>
      </c>
      <c r="Y59" s="288"/>
    </row>
    <row r="60" spans="1:25" s="289" customFormat="1" x14ac:dyDescent="0.2">
      <c r="A60" s="284" t="s">
        <v>676</v>
      </c>
      <c r="B60" s="284" t="s">
        <v>628</v>
      </c>
      <c r="C60" s="285">
        <v>0</v>
      </c>
      <c r="D60" s="286">
        <v>0</v>
      </c>
      <c r="E60" s="286">
        <v>0</v>
      </c>
      <c r="F60" s="287">
        <v>0</v>
      </c>
      <c r="G60" s="285">
        <v>0</v>
      </c>
      <c r="H60" s="286">
        <v>-20.2</v>
      </c>
      <c r="I60" s="286">
        <v>2.1</v>
      </c>
      <c r="J60" s="287">
        <v>45.6</v>
      </c>
      <c r="K60" s="286">
        <v>41.7</v>
      </c>
      <c r="L60" s="286">
        <v>19.7</v>
      </c>
      <c r="M60" s="286">
        <v>11.9</v>
      </c>
      <c r="N60" s="286">
        <v>-1</v>
      </c>
      <c r="O60" s="285">
        <v>18.899999999999999</v>
      </c>
      <c r="P60" s="286">
        <v>26</v>
      </c>
      <c r="Q60" s="286">
        <v>34.1</v>
      </c>
      <c r="R60" s="287">
        <v>0.4</v>
      </c>
      <c r="S60" s="286">
        <v>-28.2</v>
      </c>
      <c r="T60" s="286">
        <v>7.9</v>
      </c>
      <c r="U60" s="286">
        <v>67.400000000000006</v>
      </c>
      <c r="V60" s="286">
        <v>58.2</v>
      </c>
      <c r="W60" s="285">
        <v>49</v>
      </c>
      <c r="X60" s="286">
        <v>82.7</v>
      </c>
      <c r="Y60" s="288"/>
    </row>
    <row r="61" spans="1:25" s="289" customFormat="1" x14ac:dyDescent="0.2">
      <c r="A61" s="284" t="s">
        <v>677</v>
      </c>
      <c r="B61" s="284" t="s">
        <v>629</v>
      </c>
      <c r="C61" s="285">
        <v>0</v>
      </c>
      <c r="D61" s="286">
        <v>0</v>
      </c>
      <c r="E61" s="286">
        <v>0</v>
      </c>
      <c r="F61" s="287">
        <v>0</v>
      </c>
      <c r="G61" s="285">
        <v>0</v>
      </c>
      <c r="H61" s="286">
        <v>0</v>
      </c>
      <c r="I61" s="286">
        <v>0</v>
      </c>
      <c r="J61" s="287">
        <v>0</v>
      </c>
      <c r="K61" s="286">
        <v>0</v>
      </c>
      <c r="L61" s="286">
        <v>14.2</v>
      </c>
      <c r="M61" s="286">
        <v>15</v>
      </c>
      <c r="N61" s="286">
        <v>15.8</v>
      </c>
      <c r="O61" s="285">
        <v>16.600000000000001</v>
      </c>
      <c r="P61" s="286">
        <v>17.8</v>
      </c>
      <c r="Q61" s="286">
        <v>19.399999999999999</v>
      </c>
      <c r="R61" s="287">
        <v>21.1</v>
      </c>
      <c r="S61" s="286">
        <v>22.7</v>
      </c>
      <c r="T61" s="286">
        <v>25</v>
      </c>
      <c r="U61" s="286">
        <v>27.8</v>
      </c>
      <c r="V61" s="286">
        <v>30.8</v>
      </c>
      <c r="W61" s="285">
        <v>33.6</v>
      </c>
      <c r="X61" s="286">
        <v>35.5</v>
      </c>
      <c r="Y61" s="288"/>
    </row>
    <row r="62" spans="1:25" s="291" customFormat="1" x14ac:dyDescent="0.2">
      <c r="A62" s="284" t="s">
        <v>678</v>
      </c>
      <c r="B62" s="284" t="s">
        <v>630</v>
      </c>
      <c r="C62" s="285">
        <v>131.5</v>
      </c>
      <c r="D62" s="286">
        <v>359.6</v>
      </c>
      <c r="E62" s="286">
        <v>530.79999999999995</v>
      </c>
      <c r="F62" s="287">
        <v>610.20000000000005</v>
      </c>
      <c r="G62" s="285">
        <v>149.5</v>
      </c>
      <c r="H62" s="286">
        <v>457.4</v>
      </c>
      <c r="I62" s="286">
        <v>146.5</v>
      </c>
      <c r="J62" s="287">
        <v>0</v>
      </c>
      <c r="K62" s="286">
        <v>66.900000000000006</v>
      </c>
      <c r="L62" s="286">
        <v>299.8</v>
      </c>
      <c r="M62" s="286">
        <v>188.5</v>
      </c>
      <c r="N62" s="286">
        <v>282.3</v>
      </c>
      <c r="O62" s="285">
        <v>160.80000000000001</v>
      </c>
      <c r="P62" s="286">
        <v>361.8</v>
      </c>
      <c r="Q62" s="286">
        <v>165.8</v>
      </c>
      <c r="R62" s="287">
        <v>340.49999999999994</v>
      </c>
      <c r="S62" s="286">
        <v>189.3</v>
      </c>
      <c r="T62" s="286">
        <v>501.3</v>
      </c>
      <c r="U62" s="286">
        <v>202.3</v>
      </c>
      <c r="V62" s="286">
        <v>402.49999999999994</v>
      </c>
      <c r="W62" s="285">
        <v>222.4</v>
      </c>
      <c r="X62" s="286">
        <v>182.1</v>
      </c>
      <c r="Y62" s="290"/>
    </row>
    <row r="63" spans="1:25" s="289" customFormat="1" x14ac:dyDescent="0.2">
      <c r="A63" s="284" t="s">
        <v>679</v>
      </c>
      <c r="B63" s="284" t="s">
        <v>631</v>
      </c>
      <c r="C63" s="285">
        <v>0</v>
      </c>
      <c r="D63" s="286">
        <v>0</v>
      </c>
      <c r="E63" s="286">
        <v>0</v>
      </c>
      <c r="F63" s="287">
        <v>0</v>
      </c>
      <c r="G63" s="285">
        <v>152.19999999999999</v>
      </c>
      <c r="H63" s="286">
        <v>0</v>
      </c>
      <c r="I63" s="286">
        <v>0</v>
      </c>
      <c r="J63" s="287">
        <v>0</v>
      </c>
      <c r="K63" s="286">
        <v>0</v>
      </c>
      <c r="L63" s="286">
        <v>0</v>
      </c>
      <c r="M63" s="286">
        <v>0</v>
      </c>
      <c r="N63" s="286">
        <v>0</v>
      </c>
      <c r="O63" s="285">
        <v>0</v>
      </c>
      <c r="P63" s="286">
        <v>0</v>
      </c>
      <c r="Q63" s="286">
        <v>0</v>
      </c>
      <c r="R63" s="287">
        <v>0</v>
      </c>
      <c r="S63" s="286">
        <v>195.1</v>
      </c>
      <c r="T63" s="286">
        <v>0</v>
      </c>
      <c r="U63" s="286">
        <v>0</v>
      </c>
      <c r="V63" s="286">
        <v>0</v>
      </c>
      <c r="W63" s="285">
        <v>0</v>
      </c>
      <c r="X63" s="286">
        <v>0</v>
      </c>
      <c r="Y63" s="288"/>
    </row>
    <row r="64" spans="1:25" s="289" customFormat="1" x14ac:dyDescent="0.2">
      <c r="A64" s="284" t="s">
        <v>719</v>
      </c>
      <c r="B64" s="284" t="s">
        <v>632</v>
      </c>
      <c r="C64" s="285">
        <v>540.5</v>
      </c>
      <c r="D64" s="286">
        <v>0</v>
      </c>
      <c r="E64" s="286">
        <v>0</v>
      </c>
      <c r="F64" s="287">
        <v>0</v>
      </c>
      <c r="G64" s="285">
        <v>0</v>
      </c>
      <c r="H64" s="286">
        <v>0</v>
      </c>
      <c r="I64" s="286">
        <v>0</v>
      </c>
      <c r="J64" s="287">
        <v>0</v>
      </c>
      <c r="K64" s="286">
        <v>0</v>
      </c>
      <c r="L64" s="286">
        <v>0</v>
      </c>
      <c r="M64" s="286">
        <v>0</v>
      </c>
      <c r="N64" s="286">
        <v>0</v>
      </c>
      <c r="O64" s="285">
        <v>0</v>
      </c>
      <c r="P64" s="286">
        <v>0</v>
      </c>
      <c r="Q64" s="286">
        <v>0</v>
      </c>
      <c r="R64" s="287">
        <v>0</v>
      </c>
      <c r="S64" s="286">
        <v>0</v>
      </c>
      <c r="T64" s="286">
        <v>0</v>
      </c>
      <c r="U64" s="286">
        <v>0</v>
      </c>
      <c r="V64" s="286">
        <v>0</v>
      </c>
      <c r="W64" s="285">
        <v>0</v>
      </c>
      <c r="X64" s="286">
        <v>0</v>
      </c>
      <c r="Y64" s="288"/>
    </row>
    <row r="65" spans="1:25" x14ac:dyDescent="0.2">
      <c r="A65" s="300" t="s">
        <v>680</v>
      </c>
      <c r="B65" s="300" t="s">
        <v>633</v>
      </c>
      <c r="C65" s="281">
        <f t="shared" ref="C65:W65" si="7">SUM(C66,C70)</f>
        <v>-355.50000000000006</v>
      </c>
      <c r="D65" s="282">
        <f t="shared" si="7"/>
        <v>-403</v>
      </c>
      <c r="E65" s="282">
        <f t="shared" si="7"/>
        <v>-270.39999999999998</v>
      </c>
      <c r="F65" s="283">
        <f t="shared" si="7"/>
        <v>-370.3</v>
      </c>
      <c r="G65" s="281">
        <f t="shared" si="7"/>
        <v>-458.1</v>
      </c>
      <c r="H65" s="282">
        <f t="shared" si="7"/>
        <v>-442.7</v>
      </c>
      <c r="I65" s="282">
        <f t="shared" si="7"/>
        <v>-401.79999999999995</v>
      </c>
      <c r="J65" s="283">
        <f t="shared" si="7"/>
        <v>-418.8</v>
      </c>
      <c r="K65" s="282">
        <f t="shared" si="7"/>
        <v>-520.79999999999995</v>
      </c>
      <c r="L65" s="282">
        <f t="shared" si="7"/>
        <v>-536.59999999999991</v>
      </c>
      <c r="M65" s="282">
        <f t="shared" si="7"/>
        <v>-543.9</v>
      </c>
      <c r="N65" s="282">
        <f t="shared" si="7"/>
        <v>-543.89999999999986</v>
      </c>
      <c r="O65" s="281">
        <f t="shared" si="7"/>
        <v>-549.99999999999989</v>
      </c>
      <c r="P65" s="282">
        <f t="shared" si="7"/>
        <v>-569.40000000000009</v>
      </c>
      <c r="Q65" s="282">
        <f t="shared" si="7"/>
        <v>-568.9</v>
      </c>
      <c r="R65" s="283">
        <f t="shared" si="7"/>
        <v>-598.6</v>
      </c>
      <c r="S65" s="282">
        <f t="shared" si="7"/>
        <v>-562.79999999999995</v>
      </c>
      <c r="T65" s="282">
        <f t="shared" si="7"/>
        <v>-580.4</v>
      </c>
      <c r="U65" s="282">
        <f t="shared" si="7"/>
        <v>-597.59999999999991</v>
      </c>
      <c r="V65" s="282">
        <f t="shared" si="7"/>
        <v>-544.40000000000009</v>
      </c>
      <c r="W65" s="281">
        <f t="shared" si="7"/>
        <v>-738.2</v>
      </c>
      <c r="X65" s="282">
        <f>SUM(X66,X70)</f>
        <v>-734.2</v>
      </c>
    </row>
    <row r="66" spans="1:25" x14ac:dyDescent="0.2">
      <c r="A66" s="301" t="s">
        <v>681</v>
      </c>
      <c r="B66" s="301" t="s">
        <v>634</v>
      </c>
      <c r="C66" s="281">
        <f t="shared" ref="C66:W66" si="8">SUM(C67:C69)</f>
        <v>-371.50000000000006</v>
      </c>
      <c r="D66" s="282">
        <f t="shared" si="8"/>
        <v>-412</v>
      </c>
      <c r="E66" s="282">
        <f t="shared" si="8"/>
        <v>-411.59999999999997</v>
      </c>
      <c r="F66" s="283">
        <f t="shared" si="8"/>
        <v>-461.5</v>
      </c>
      <c r="G66" s="281">
        <f t="shared" si="8"/>
        <v>-488.5</v>
      </c>
      <c r="H66" s="282">
        <f t="shared" si="8"/>
        <v>-492.5</v>
      </c>
      <c r="I66" s="282">
        <f t="shared" si="8"/>
        <v>-487.79999999999995</v>
      </c>
      <c r="J66" s="283">
        <f t="shared" si="8"/>
        <v>-495.6</v>
      </c>
      <c r="K66" s="282">
        <f t="shared" si="8"/>
        <v>-517.4</v>
      </c>
      <c r="L66" s="282">
        <f t="shared" si="8"/>
        <v>-598.29999999999995</v>
      </c>
      <c r="M66" s="282">
        <f t="shared" si="8"/>
        <v>-597</v>
      </c>
      <c r="N66" s="282">
        <f t="shared" si="8"/>
        <v>-606.59999999999991</v>
      </c>
      <c r="O66" s="281">
        <f t="shared" si="8"/>
        <v>-570.19999999999993</v>
      </c>
      <c r="P66" s="282">
        <f t="shared" si="8"/>
        <v>-608.20000000000005</v>
      </c>
      <c r="Q66" s="282">
        <f t="shared" si="8"/>
        <v>-576.5</v>
      </c>
      <c r="R66" s="283">
        <f t="shared" si="8"/>
        <v>-617</v>
      </c>
      <c r="S66" s="282">
        <f t="shared" si="8"/>
        <v>-621.09999999999991</v>
      </c>
      <c r="T66" s="282">
        <f t="shared" si="8"/>
        <v>-596.1</v>
      </c>
      <c r="U66" s="282">
        <f t="shared" si="8"/>
        <v>-621.09999999999991</v>
      </c>
      <c r="V66" s="282">
        <f t="shared" si="8"/>
        <v>-552.90000000000009</v>
      </c>
      <c r="W66" s="281">
        <f t="shared" si="8"/>
        <v>-689.5</v>
      </c>
      <c r="X66" s="282">
        <f>SUM(X67:X69)</f>
        <v>-649.30000000000007</v>
      </c>
    </row>
    <row r="67" spans="1:25" s="289" customFormat="1" x14ac:dyDescent="0.2">
      <c r="A67" s="284" t="s">
        <v>635</v>
      </c>
      <c r="B67" s="284" t="s">
        <v>635</v>
      </c>
      <c r="C67" s="285">
        <v>-313.40000000000003</v>
      </c>
      <c r="D67" s="286">
        <v>-318.3</v>
      </c>
      <c r="E67" s="286">
        <v>-317.89999999999998</v>
      </c>
      <c r="F67" s="287">
        <v>-317.8</v>
      </c>
      <c r="G67" s="285">
        <v>-314.5</v>
      </c>
      <c r="H67" s="286">
        <v>-309.70000000000005</v>
      </c>
      <c r="I67" s="286">
        <v>-308</v>
      </c>
      <c r="J67" s="287">
        <v>-314.8</v>
      </c>
      <c r="K67" s="286">
        <v>-312.10000000000002</v>
      </c>
      <c r="L67" s="286">
        <v>-316.39999999999998</v>
      </c>
      <c r="M67" s="286">
        <v>-315.10000000000002</v>
      </c>
      <c r="N67" s="286">
        <v>-325.7</v>
      </c>
      <c r="O67" s="285">
        <v>-321.39999999999998</v>
      </c>
      <c r="P67" s="286">
        <v>-324.5</v>
      </c>
      <c r="Q67" s="286">
        <v>-324.5</v>
      </c>
      <c r="R67" s="287">
        <v>-340.9</v>
      </c>
      <c r="S67" s="286">
        <v>-340.7</v>
      </c>
      <c r="T67" s="286">
        <v>-356.5</v>
      </c>
      <c r="U67" s="286">
        <v>-354.2</v>
      </c>
      <c r="V67" s="286">
        <v>-360.8</v>
      </c>
      <c r="W67" s="285">
        <v>-356.7</v>
      </c>
      <c r="X67" s="286">
        <v>-355.3</v>
      </c>
      <c r="Y67" s="288"/>
    </row>
    <row r="68" spans="1:25" s="289" customFormat="1" x14ac:dyDescent="0.2">
      <c r="A68" s="284" t="s">
        <v>682</v>
      </c>
      <c r="B68" s="284" t="s">
        <v>636</v>
      </c>
      <c r="C68" s="285">
        <v>-58.1</v>
      </c>
      <c r="D68" s="286">
        <v>-93.7</v>
      </c>
      <c r="E68" s="286">
        <v>-93.7</v>
      </c>
      <c r="F68" s="287">
        <v>-143.69999999999999</v>
      </c>
      <c r="G68" s="285">
        <v>-174</v>
      </c>
      <c r="H68" s="286">
        <v>-182.79999999999998</v>
      </c>
      <c r="I68" s="286">
        <v>-179.79999999999998</v>
      </c>
      <c r="J68" s="287">
        <v>-180.79999999999998</v>
      </c>
      <c r="K68" s="286">
        <v>-205.29999999999998</v>
      </c>
      <c r="L68" s="286">
        <v>-281.89999999999998</v>
      </c>
      <c r="M68" s="286">
        <v>-281.89999999999998</v>
      </c>
      <c r="N68" s="286">
        <v>-280.89999999999998</v>
      </c>
      <c r="O68" s="285">
        <v>-248.79999999999998</v>
      </c>
      <c r="P68" s="286">
        <v>-283.7</v>
      </c>
      <c r="Q68" s="286">
        <v>-252</v>
      </c>
      <c r="R68" s="287">
        <v>-276.09999999999997</v>
      </c>
      <c r="S68" s="286">
        <v>-280.39999999999998</v>
      </c>
      <c r="T68" s="286">
        <v>-239.6</v>
      </c>
      <c r="U68" s="286">
        <v>-266.89999999999998</v>
      </c>
      <c r="V68" s="286">
        <v>-37.300000000000004</v>
      </c>
      <c r="W68" s="285">
        <v>-176.8</v>
      </c>
      <c r="X68" s="286">
        <v>-149.4</v>
      </c>
      <c r="Y68" s="288"/>
    </row>
    <row r="69" spans="1:25" s="289" customFormat="1" x14ac:dyDescent="0.2">
      <c r="A69" s="284" t="s">
        <v>683</v>
      </c>
      <c r="B69" s="284" t="s">
        <v>637</v>
      </c>
      <c r="C69" s="293" t="s">
        <v>558</v>
      </c>
      <c r="D69" s="294" t="s">
        <v>558</v>
      </c>
      <c r="E69" s="294" t="s">
        <v>558</v>
      </c>
      <c r="F69" s="295" t="s">
        <v>558</v>
      </c>
      <c r="G69" s="293" t="s">
        <v>558</v>
      </c>
      <c r="H69" s="294" t="s">
        <v>558</v>
      </c>
      <c r="I69" s="294" t="s">
        <v>558</v>
      </c>
      <c r="J69" s="295" t="s">
        <v>558</v>
      </c>
      <c r="K69" s="294" t="s">
        <v>558</v>
      </c>
      <c r="L69" s="294" t="s">
        <v>558</v>
      </c>
      <c r="M69" s="294" t="s">
        <v>558</v>
      </c>
      <c r="N69" s="294" t="s">
        <v>558</v>
      </c>
      <c r="O69" s="293" t="s">
        <v>558</v>
      </c>
      <c r="P69" s="294" t="s">
        <v>558</v>
      </c>
      <c r="Q69" s="294" t="s">
        <v>558</v>
      </c>
      <c r="R69" s="295" t="s">
        <v>558</v>
      </c>
      <c r="S69" s="294" t="s">
        <v>558</v>
      </c>
      <c r="T69" s="294" t="s">
        <v>558</v>
      </c>
      <c r="U69" s="294" t="s">
        <v>558</v>
      </c>
      <c r="V69" s="286">
        <v>-154.80000000000001</v>
      </c>
      <c r="W69" s="285">
        <v>-156</v>
      </c>
      <c r="X69" s="286">
        <v>-144.6</v>
      </c>
      <c r="Y69" s="288"/>
    </row>
    <row r="70" spans="1:25" x14ac:dyDescent="0.2">
      <c r="A70" s="301" t="s">
        <v>684</v>
      </c>
      <c r="B70" s="301" t="s">
        <v>638</v>
      </c>
      <c r="C70" s="281">
        <f t="shared" ref="C70:W70" si="9">SUM(C71:C73)</f>
        <v>16</v>
      </c>
      <c r="D70" s="282">
        <f t="shared" si="9"/>
        <v>9</v>
      </c>
      <c r="E70" s="282">
        <f t="shared" si="9"/>
        <v>141.19999999999999</v>
      </c>
      <c r="F70" s="283">
        <f t="shared" si="9"/>
        <v>91.2</v>
      </c>
      <c r="G70" s="281">
        <f t="shared" si="9"/>
        <v>30.400000000000002</v>
      </c>
      <c r="H70" s="282">
        <f t="shared" si="9"/>
        <v>49.800000000000004</v>
      </c>
      <c r="I70" s="282">
        <f t="shared" si="9"/>
        <v>86</v>
      </c>
      <c r="J70" s="283">
        <f t="shared" si="9"/>
        <v>76.8</v>
      </c>
      <c r="K70" s="282">
        <f t="shared" si="9"/>
        <v>-3.4</v>
      </c>
      <c r="L70" s="282">
        <f t="shared" si="9"/>
        <v>61.7</v>
      </c>
      <c r="M70" s="282">
        <f t="shared" si="9"/>
        <v>53.1</v>
      </c>
      <c r="N70" s="282">
        <f t="shared" si="9"/>
        <v>62.7</v>
      </c>
      <c r="O70" s="281">
        <f t="shared" si="9"/>
        <v>20.200000000000003</v>
      </c>
      <c r="P70" s="282">
        <f t="shared" si="9"/>
        <v>38.799999999999997</v>
      </c>
      <c r="Q70" s="282">
        <f t="shared" si="9"/>
        <v>7.5999999999999979</v>
      </c>
      <c r="R70" s="283">
        <f t="shared" si="9"/>
        <v>18.399999999999999</v>
      </c>
      <c r="S70" s="282">
        <f t="shared" si="9"/>
        <v>58.300000000000004</v>
      </c>
      <c r="T70" s="282">
        <f t="shared" si="9"/>
        <v>15.699999999999996</v>
      </c>
      <c r="U70" s="282">
        <f t="shared" si="9"/>
        <v>23.499999999999996</v>
      </c>
      <c r="V70" s="282">
        <f t="shared" si="9"/>
        <v>8.5</v>
      </c>
      <c r="W70" s="281">
        <f t="shared" si="9"/>
        <v>-48.7</v>
      </c>
      <c r="X70" s="282">
        <f>SUM(X71:X73)</f>
        <v>-84.9</v>
      </c>
    </row>
    <row r="71" spans="1:25" s="289" customFormat="1" x14ac:dyDescent="0.2">
      <c r="A71" s="284" t="s">
        <v>682</v>
      </c>
      <c r="B71" s="284" t="s">
        <v>636</v>
      </c>
      <c r="C71" s="285">
        <v>-22.1</v>
      </c>
      <c r="D71" s="286">
        <v>0</v>
      </c>
      <c r="E71" s="286">
        <v>0</v>
      </c>
      <c r="F71" s="287">
        <v>0</v>
      </c>
      <c r="G71" s="285">
        <v>-9.6999999999999993</v>
      </c>
      <c r="H71" s="286">
        <v>-0.9</v>
      </c>
      <c r="I71" s="286">
        <v>-3.9</v>
      </c>
      <c r="J71" s="287">
        <v>-2.9</v>
      </c>
      <c r="K71" s="286">
        <v>-3.4</v>
      </c>
      <c r="L71" s="286">
        <v>-1.8</v>
      </c>
      <c r="M71" s="286">
        <v>-1.8</v>
      </c>
      <c r="N71" s="286">
        <v>-2.8</v>
      </c>
      <c r="O71" s="285">
        <v>-34.9</v>
      </c>
      <c r="P71" s="286">
        <v>0</v>
      </c>
      <c r="Q71" s="286">
        <v>-31.7</v>
      </c>
      <c r="R71" s="287">
        <v>-7.6</v>
      </c>
      <c r="S71" s="286">
        <v>-3.3</v>
      </c>
      <c r="T71" s="286">
        <v>-44.1</v>
      </c>
      <c r="U71" s="286">
        <v>-16.8</v>
      </c>
      <c r="V71" s="286">
        <v>-32.9</v>
      </c>
      <c r="W71" s="285">
        <v>-99.5</v>
      </c>
      <c r="X71" s="286">
        <v>-126.9</v>
      </c>
      <c r="Y71" s="288"/>
    </row>
    <row r="72" spans="1:25" s="289" customFormat="1" x14ac:dyDescent="0.2">
      <c r="A72" s="284" t="s">
        <v>683</v>
      </c>
      <c r="B72" s="284" t="s">
        <v>637</v>
      </c>
      <c r="C72" s="293" t="s">
        <v>558</v>
      </c>
      <c r="D72" s="294" t="s">
        <v>558</v>
      </c>
      <c r="E72" s="294" t="s">
        <v>558</v>
      </c>
      <c r="F72" s="295" t="s">
        <v>558</v>
      </c>
      <c r="G72" s="293" t="s">
        <v>558</v>
      </c>
      <c r="H72" s="294" t="s">
        <v>558</v>
      </c>
      <c r="I72" s="294" t="s">
        <v>558</v>
      </c>
      <c r="J72" s="295" t="s">
        <v>558</v>
      </c>
      <c r="K72" s="294" t="s">
        <v>558</v>
      </c>
      <c r="L72" s="294" t="s">
        <v>558</v>
      </c>
      <c r="M72" s="294" t="s">
        <v>558</v>
      </c>
      <c r="N72" s="294" t="s">
        <v>558</v>
      </c>
      <c r="O72" s="293" t="s">
        <v>558</v>
      </c>
      <c r="P72" s="294" t="s">
        <v>558</v>
      </c>
      <c r="Q72" s="294" t="s">
        <v>558</v>
      </c>
      <c r="R72" s="295" t="s">
        <v>558</v>
      </c>
      <c r="S72" s="294" t="s">
        <v>558</v>
      </c>
      <c r="T72" s="294" t="s">
        <v>558</v>
      </c>
      <c r="U72" s="294" t="s">
        <v>558</v>
      </c>
      <c r="V72" s="286">
        <v>0</v>
      </c>
      <c r="W72" s="285">
        <v>0</v>
      </c>
      <c r="X72" s="286">
        <v>0</v>
      </c>
      <c r="Y72" s="288"/>
    </row>
    <row r="73" spans="1:25" s="289" customFormat="1" x14ac:dyDescent="0.2">
      <c r="A73" s="302" t="s">
        <v>685</v>
      </c>
      <c r="B73" s="302" t="s">
        <v>639</v>
      </c>
      <c r="C73" s="285">
        <v>38.1</v>
      </c>
      <c r="D73" s="286">
        <v>9</v>
      </c>
      <c r="E73" s="286">
        <v>141.19999999999999</v>
      </c>
      <c r="F73" s="287">
        <v>91.2</v>
      </c>
      <c r="G73" s="285">
        <v>40.1</v>
      </c>
      <c r="H73" s="286">
        <v>50.7</v>
      </c>
      <c r="I73" s="286">
        <v>89.9</v>
      </c>
      <c r="J73" s="287">
        <v>79.7</v>
      </c>
      <c r="K73" s="286">
        <v>0</v>
      </c>
      <c r="L73" s="286">
        <v>63.5</v>
      </c>
      <c r="M73" s="286">
        <v>54.9</v>
      </c>
      <c r="N73" s="286">
        <v>65.5</v>
      </c>
      <c r="O73" s="285">
        <v>55.1</v>
      </c>
      <c r="P73" s="286">
        <v>38.799999999999997</v>
      </c>
      <c r="Q73" s="286">
        <v>39.299999999999997</v>
      </c>
      <c r="R73" s="287">
        <v>26</v>
      </c>
      <c r="S73" s="286">
        <v>61.6</v>
      </c>
      <c r="T73" s="286">
        <v>59.8</v>
      </c>
      <c r="U73" s="286">
        <v>40.299999999999997</v>
      </c>
      <c r="V73" s="286">
        <v>41.4</v>
      </c>
      <c r="W73" s="285">
        <v>50.8</v>
      </c>
      <c r="X73" s="286">
        <v>42</v>
      </c>
      <c r="Y73" s="288"/>
    </row>
    <row r="74" spans="1:25" s="289" customFormat="1" ht="13.5" thickBot="1" x14ac:dyDescent="0.25">
      <c r="A74" s="302"/>
      <c r="B74" s="302"/>
      <c r="C74" s="303"/>
      <c r="D74" s="304"/>
      <c r="E74" s="304"/>
      <c r="F74" s="305"/>
      <c r="G74" s="303"/>
      <c r="H74" s="304"/>
      <c r="I74" s="304"/>
      <c r="J74" s="305"/>
      <c r="K74" s="304"/>
      <c r="L74" s="304"/>
      <c r="M74" s="304"/>
      <c r="N74" s="304"/>
      <c r="O74" s="303"/>
      <c r="P74" s="304"/>
      <c r="Q74" s="304"/>
      <c r="R74" s="305"/>
      <c r="S74" s="304"/>
      <c r="T74" s="304"/>
      <c r="U74" s="304"/>
      <c r="V74" s="304"/>
      <c r="W74" s="303"/>
      <c r="X74" s="304"/>
      <c r="Y74" s="288"/>
    </row>
    <row r="75" spans="1:25" customFormat="1" ht="36.75" thickBot="1" x14ac:dyDescent="0.25">
      <c r="A75" s="361" t="s">
        <v>698</v>
      </c>
      <c r="B75" s="361" t="s">
        <v>640</v>
      </c>
      <c r="C75" s="362" t="s">
        <v>558</v>
      </c>
      <c r="D75" s="363" t="s">
        <v>558</v>
      </c>
      <c r="E75" s="363" t="s">
        <v>558</v>
      </c>
      <c r="F75" s="364" t="s">
        <v>558</v>
      </c>
      <c r="G75" s="362" t="s">
        <v>558</v>
      </c>
      <c r="H75" s="363" t="s">
        <v>558</v>
      </c>
      <c r="I75" s="363" t="s">
        <v>558</v>
      </c>
      <c r="J75" s="364" t="s">
        <v>558</v>
      </c>
      <c r="K75" s="363" t="s">
        <v>558</v>
      </c>
      <c r="L75" s="363" t="s">
        <v>558</v>
      </c>
      <c r="M75" s="363" t="s">
        <v>558</v>
      </c>
      <c r="N75" s="363" t="s">
        <v>558</v>
      </c>
      <c r="O75" s="362" t="s">
        <v>558</v>
      </c>
      <c r="P75" s="363" t="s">
        <v>558</v>
      </c>
      <c r="Q75" s="363" t="s">
        <v>558</v>
      </c>
      <c r="R75" s="364" t="s">
        <v>558</v>
      </c>
      <c r="S75" s="363" t="s">
        <v>558</v>
      </c>
      <c r="T75" s="363" t="s">
        <v>558</v>
      </c>
      <c r="U75" s="363" t="s">
        <v>558</v>
      </c>
      <c r="V75" s="363">
        <f>SUM(V45,V55,V66,V70)</f>
        <v>5157.3000000000011</v>
      </c>
      <c r="W75" s="362">
        <f>SUM(W45,W55,W66,W70)</f>
        <v>5447.4</v>
      </c>
      <c r="X75" s="363">
        <f>SUM(X45,X55,X66,X70)</f>
        <v>5698.0999999999995</v>
      </c>
      <c r="Y75" s="167"/>
    </row>
    <row r="76" spans="1:25" x14ac:dyDescent="0.2">
      <c r="A76" s="306" t="s">
        <v>686</v>
      </c>
      <c r="B76" s="306" t="s">
        <v>641</v>
      </c>
      <c r="C76" s="307" t="s">
        <v>558</v>
      </c>
      <c r="D76" s="308" t="s">
        <v>558</v>
      </c>
      <c r="E76" s="308" t="s">
        <v>558</v>
      </c>
      <c r="F76" s="309" t="s">
        <v>558</v>
      </c>
      <c r="G76" s="307" t="s">
        <v>558</v>
      </c>
      <c r="H76" s="308" t="s">
        <v>558</v>
      </c>
      <c r="I76" s="308" t="s">
        <v>558</v>
      </c>
      <c r="J76" s="309" t="s">
        <v>558</v>
      </c>
      <c r="K76" s="308" t="s">
        <v>558</v>
      </c>
      <c r="L76" s="308" t="s">
        <v>558</v>
      </c>
      <c r="M76" s="308" t="s">
        <v>558</v>
      </c>
      <c r="N76" s="308" t="s">
        <v>558</v>
      </c>
      <c r="O76" s="307" t="s">
        <v>558</v>
      </c>
      <c r="P76" s="308" t="s">
        <v>558</v>
      </c>
      <c r="Q76" s="308" t="s">
        <v>558</v>
      </c>
      <c r="R76" s="309" t="s">
        <v>558</v>
      </c>
      <c r="S76" s="308" t="s">
        <v>558</v>
      </c>
      <c r="T76" s="308" t="s">
        <v>558</v>
      </c>
      <c r="U76" s="308" t="s">
        <v>558</v>
      </c>
      <c r="V76" s="308">
        <f>SUM(V45,V66)</f>
        <v>5115.9000000000015</v>
      </c>
      <c r="W76" s="307">
        <f>SUM(W45,W66)</f>
        <v>5396.5999999999995</v>
      </c>
      <c r="X76" s="308">
        <f>SUM(X45,X66)</f>
        <v>5656.0999999999995</v>
      </c>
    </row>
    <row r="77" spans="1:25" x14ac:dyDescent="0.2">
      <c r="A77" s="306" t="s">
        <v>687</v>
      </c>
      <c r="B77" s="306" t="s">
        <v>642</v>
      </c>
      <c r="C77" s="307" t="s">
        <v>558</v>
      </c>
      <c r="D77" s="308" t="s">
        <v>558</v>
      </c>
      <c r="E77" s="308" t="s">
        <v>558</v>
      </c>
      <c r="F77" s="309" t="s">
        <v>558</v>
      </c>
      <c r="G77" s="307" t="s">
        <v>558</v>
      </c>
      <c r="H77" s="308" t="s">
        <v>558</v>
      </c>
      <c r="I77" s="308" t="s">
        <v>558</v>
      </c>
      <c r="J77" s="309" t="s">
        <v>558</v>
      </c>
      <c r="K77" s="308" t="s">
        <v>558</v>
      </c>
      <c r="L77" s="308" t="s">
        <v>558</v>
      </c>
      <c r="M77" s="308" t="s">
        <v>558</v>
      </c>
      <c r="N77" s="308" t="s">
        <v>558</v>
      </c>
      <c r="O77" s="307" t="s">
        <v>558</v>
      </c>
      <c r="P77" s="308" t="s">
        <v>558</v>
      </c>
      <c r="Q77" s="308" t="s">
        <v>558</v>
      </c>
      <c r="R77" s="309" t="s">
        <v>558</v>
      </c>
      <c r="S77" s="308" t="s">
        <v>558</v>
      </c>
      <c r="T77" s="308" t="s">
        <v>558</v>
      </c>
      <c r="U77" s="308" t="s">
        <v>558</v>
      </c>
      <c r="V77" s="308">
        <f t="shared" ref="V77:W77" si="10">SUM(V55,V70)</f>
        <v>41.4</v>
      </c>
      <c r="W77" s="307">
        <f t="shared" si="10"/>
        <v>50.8</v>
      </c>
      <c r="X77" s="308">
        <f>SUM(X55,X70)</f>
        <v>42</v>
      </c>
    </row>
    <row r="78" spans="1:25" ht="13.5" thickBot="1" x14ac:dyDescent="0.25">
      <c r="A78" s="306"/>
      <c r="B78" s="306"/>
      <c r="C78" s="307"/>
      <c r="D78" s="308"/>
      <c r="E78" s="308"/>
      <c r="F78" s="309"/>
      <c r="G78" s="307"/>
      <c r="H78" s="308"/>
      <c r="I78" s="308"/>
      <c r="J78" s="309"/>
      <c r="K78" s="308"/>
      <c r="L78" s="308"/>
      <c r="M78" s="308"/>
      <c r="N78" s="308"/>
      <c r="O78" s="307"/>
      <c r="P78" s="308"/>
      <c r="Q78" s="308"/>
      <c r="R78" s="309"/>
      <c r="S78" s="308"/>
      <c r="T78" s="308"/>
      <c r="U78" s="308"/>
      <c r="V78" s="308"/>
      <c r="W78" s="307"/>
      <c r="X78" s="308"/>
    </row>
    <row r="79" spans="1:25" customFormat="1" ht="36.75" thickBot="1" x14ac:dyDescent="0.25">
      <c r="A79" s="361" t="s">
        <v>699</v>
      </c>
      <c r="B79" s="361" t="s">
        <v>643</v>
      </c>
      <c r="C79" s="362">
        <f t="shared" ref="C79:X79" si="11">SUM(C45,C55,C67,C68,C71,C73)</f>
        <v>2699.2</v>
      </c>
      <c r="D79" s="363">
        <f t="shared" si="11"/>
        <v>2742.3999999999996</v>
      </c>
      <c r="E79" s="363">
        <f t="shared" si="11"/>
        <v>2864.5999999999995</v>
      </c>
      <c r="F79" s="364">
        <f t="shared" si="11"/>
        <v>2688.9999999999995</v>
      </c>
      <c r="G79" s="362">
        <f t="shared" si="11"/>
        <v>3013.5999999999995</v>
      </c>
      <c r="H79" s="363">
        <f t="shared" si="11"/>
        <v>2946.4999999999995</v>
      </c>
      <c r="I79" s="363">
        <f t="shared" si="11"/>
        <v>3554.4</v>
      </c>
      <c r="J79" s="364">
        <f t="shared" si="11"/>
        <v>3564.3999999999996</v>
      </c>
      <c r="K79" s="363">
        <f t="shared" si="11"/>
        <v>3443.7</v>
      </c>
      <c r="L79" s="363">
        <f t="shared" si="11"/>
        <v>3502.0999999999995</v>
      </c>
      <c r="M79" s="363">
        <f t="shared" si="11"/>
        <v>3819.1999999999994</v>
      </c>
      <c r="N79" s="363">
        <f t="shared" si="11"/>
        <v>3855.4</v>
      </c>
      <c r="O79" s="362">
        <f t="shared" si="11"/>
        <v>4170</v>
      </c>
      <c r="P79" s="363">
        <f t="shared" si="11"/>
        <v>4095.2000000000007</v>
      </c>
      <c r="Q79" s="363">
        <f t="shared" si="11"/>
        <v>4494.8000000000011</v>
      </c>
      <c r="R79" s="364">
        <f t="shared" si="11"/>
        <v>4441.1000000000004</v>
      </c>
      <c r="S79" s="363">
        <f t="shared" si="11"/>
        <v>4569.9000000000015</v>
      </c>
      <c r="T79" s="363">
        <f t="shared" si="11"/>
        <v>4644.2999999999993</v>
      </c>
      <c r="U79" s="363">
        <f t="shared" si="11"/>
        <v>5090.4000000000005</v>
      </c>
      <c r="V79" s="363">
        <f t="shared" si="11"/>
        <v>5312.1</v>
      </c>
      <c r="W79" s="362">
        <f t="shared" si="11"/>
        <v>5603.4</v>
      </c>
      <c r="X79" s="363">
        <f t="shared" si="11"/>
        <v>5842.7</v>
      </c>
      <c r="Y79" s="167"/>
    </row>
    <row r="80" spans="1:25" x14ac:dyDescent="0.2">
      <c r="A80" s="306" t="s">
        <v>686</v>
      </c>
      <c r="B80" s="306" t="s">
        <v>641</v>
      </c>
      <c r="C80" s="310">
        <f t="shared" ref="C80:X80" si="12">SUM(C45,C67,C68)</f>
        <v>2661.1</v>
      </c>
      <c r="D80" s="311">
        <f t="shared" si="12"/>
        <v>2733.3999999999996</v>
      </c>
      <c r="E80" s="311">
        <f t="shared" si="12"/>
        <v>2723.3999999999996</v>
      </c>
      <c r="F80" s="312">
        <f t="shared" si="12"/>
        <v>2597.7999999999997</v>
      </c>
      <c r="G80" s="310">
        <f t="shared" si="12"/>
        <v>2973.4999999999995</v>
      </c>
      <c r="H80" s="311">
        <f t="shared" si="12"/>
        <v>2895.8</v>
      </c>
      <c r="I80" s="311">
        <f t="shared" si="12"/>
        <v>3464.5</v>
      </c>
      <c r="J80" s="312">
        <f t="shared" si="12"/>
        <v>3484.7</v>
      </c>
      <c r="K80" s="311">
        <f t="shared" si="12"/>
        <v>3443.7</v>
      </c>
      <c r="L80" s="311">
        <f t="shared" si="12"/>
        <v>3438.5999999999995</v>
      </c>
      <c r="M80" s="311">
        <f t="shared" si="12"/>
        <v>3764.2999999999993</v>
      </c>
      <c r="N80" s="311">
        <f t="shared" si="12"/>
        <v>3789.9</v>
      </c>
      <c r="O80" s="310">
        <f t="shared" si="12"/>
        <v>4114.8999999999996</v>
      </c>
      <c r="P80" s="311">
        <f t="shared" si="12"/>
        <v>4056.4000000000005</v>
      </c>
      <c r="Q80" s="311">
        <f t="shared" si="12"/>
        <v>4455.5000000000009</v>
      </c>
      <c r="R80" s="312">
        <f t="shared" si="12"/>
        <v>4415.1000000000004</v>
      </c>
      <c r="S80" s="311">
        <f t="shared" si="12"/>
        <v>4508.3000000000011</v>
      </c>
      <c r="T80" s="311">
        <f t="shared" si="12"/>
        <v>4584.4999999999991</v>
      </c>
      <c r="U80" s="311">
        <f t="shared" si="12"/>
        <v>5050.1000000000004</v>
      </c>
      <c r="V80" s="311">
        <f t="shared" si="12"/>
        <v>5270.7000000000007</v>
      </c>
      <c r="W80" s="310">
        <f t="shared" si="12"/>
        <v>5552.5999999999995</v>
      </c>
      <c r="X80" s="311">
        <f t="shared" si="12"/>
        <v>5800.7</v>
      </c>
    </row>
    <row r="81" spans="1:25" x14ac:dyDescent="0.2">
      <c r="A81" s="306" t="s">
        <v>687</v>
      </c>
      <c r="B81" s="306" t="s">
        <v>642</v>
      </c>
      <c r="C81" s="310">
        <f t="shared" ref="C81:W81" si="13">SUM(C55,C71,C73)</f>
        <v>38.1</v>
      </c>
      <c r="D81" s="311">
        <f t="shared" si="13"/>
        <v>9</v>
      </c>
      <c r="E81" s="311">
        <f t="shared" si="13"/>
        <v>141.19999999999999</v>
      </c>
      <c r="F81" s="312">
        <f t="shared" si="13"/>
        <v>91.2</v>
      </c>
      <c r="G81" s="310">
        <f t="shared" si="13"/>
        <v>40.1</v>
      </c>
      <c r="H81" s="311">
        <f t="shared" si="13"/>
        <v>50.7</v>
      </c>
      <c r="I81" s="311">
        <f t="shared" si="13"/>
        <v>89.9</v>
      </c>
      <c r="J81" s="312">
        <f t="shared" si="13"/>
        <v>79.7</v>
      </c>
      <c r="K81" s="311">
        <f t="shared" si="13"/>
        <v>0</v>
      </c>
      <c r="L81" s="311">
        <f t="shared" si="13"/>
        <v>63.5</v>
      </c>
      <c r="M81" s="311">
        <f t="shared" si="13"/>
        <v>54.9</v>
      </c>
      <c r="N81" s="311">
        <f t="shared" si="13"/>
        <v>65.5</v>
      </c>
      <c r="O81" s="310">
        <f t="shared" si="13"/>
        <v>55.1</v>
      </c>
      <c r="P81" s="311">
        <f t="shared" si="13"/>
        <v>38.799999999999997</v>
      </c>
      <c r="Q81" s="311">
        <f t="shared" si="13"/>
        <v>39.299999999999997</v>
      </c>
      <c r="R81" s="312">
        <f t="shared" si="13"/>
        <v>26</v>
      </c>
      <c r="S81" s="311">
        <f t="shared" si="13"/>
        <v>61.6</v>
      </c>
      <c r="T81" s="311">
        <f t="shared" si="13"/>
        <v>59.8</v>
      </c>
      <c r="U81" s="311">
        <f t="shared" si="13"/>
        <v>40.299999999999997</v>
      </c>
      <c r="V81" s="311">
        <f t="shared" si="13"/>
        <v>41.4</v>
      </c>
      <c r="W81" s="310">
        <f t="shared" si="13"/>
        <v>50.8</v>
      </c>
      <c r="X81" s="311">
        <f>SUM(X55,X71,X73)</f>
        <v>42</v>
      </c>
    </row>
    <row r="82" spans="1:25" x14ac:dyDescent="0.2">
      <c r="A82" s="276"/>
      <c r="B82" s="276"/>
      <c r="C82" s="313"/>
      <c r="D82" s="314"/>
      <c r="E82" s="314"/>
      <c r="F82" s="315"/>
      <c r="G82" s="313"/>
      <c r="H82" s="314"/>
      <c r="I82" s="314"/>
      <c r="J82" s="315"/>
      <c r="K82" s="314"/>
      <c r="L82" s="314"/>
      <c r="M82" s="314"/>
      <c r="N82" s="314"/>
      <c r="O82" s="313"/>
      <c r="P82" s="314"/>
      <c r="Q82" s="314"/>
      <c r="R82" s="315"/>
      <c r="S82" s="314"/>
      <c r="T82" s="314"/>
      <c r="U82" s="314"/>
      <c r="V82" s="314"/>
      <c r="W82" s="313"/>
      <c r="X82" s="314"/>
    </row>
    <row r="83" spans="1:25" s="379" customFormat="1" ht="24" customHeight="1" x14ac:dyDescent="0.2">
      <c r="A83" s="374" t="s">
        <v>688</v>
      </c>
      <c r="B83" s="374" t="s">
        <v>644</v>
      </c>
      <c r="C83" s="380"/>
      <c r="D83" s="381"/>
      <c r="E83" s="381"/>
      <c r="F83" s="382"/>
      <c r="G83" s="380"/>
      <c r="H83" s="381"/>
      <c r="I83" s="381"/>
      <c r="J83" s="382"/>
      <c r="K83" s="381"/>
      <c r="L83" s="381"/>
      <c r="M83" s="381"/>
      <c r="N83" s="381"/>
      <c r="O83" s="380"/>
      <c r="P83" s="381"/>
      <c r="Q83" s="381"/>
      <c r="R83" s="382"/>
      <c r="S83" s="381"/>
      <c r="T83" s="381"/>
      <c r="U83" s="381"/>
      <c r="V83" s="381"/>
      <c r="W83" s="380"/>
      <c r="X83" s="381"/>
      <c r="Y83" s="378"/>
    </row>
    <row r="84" spans="1:25" ht="22.5" x14ac:dyDescent="0.2">
      <c r="A84" s="319" t="s">
        <v>689</v>
      </c>
      <c r="B84" s="319" t="s">
        <v>645</v>
      </c>
      <c r="C84" s="320" t="str">
        <f t="shared" ref="C84:X90" si="14">C29</f>
        <v>-</v>
      </c>
      <c r="D84" s="321" t="str">
        <f t="shared" si="14"/>
        <v>-</v>
      </c>
      <c r="E84" s="321" t="str">
        <f t="shared" si="14"/>
        <v>-</v>
      </c>
      <c r="F84" s="322" t="str">
        <f t="shared" si="14"/>
        <v>-</v>
      </c>
      <c r="G84" s="316">
        <f t="shared" si="14"/>
        <v>2044.6</v>
      </c>
      <c r="H84" s="317">
        <f t="shared" si="14"/>
        <v>1963.6</v>
      </c>
      <c r="I84" s="317">
        <f t="shared" si="14"/>
        <v>2157</v>
      </c>
      <c r="J84" s="318">
        <f t="shared" si="14"/>
        <v>2553.6999999999998</v>
      </c>
      <c r="K84" s="317">
        <f t="shared" si="14"/>
        <v>2586.6999999999998</v>
      </c>
      <c r="L84" s="317">
        <f t="shared" si="14"/>
        <v>2469.9</v>
      </c>
      <c r="M84" s="317">
        <f t="shared" si="14"/>
        <v>2384.1</v>
      </c>
      <c r="N84" s="317">
        <f t="shared" si="14"/>
        <v>2393</v>
      </c>
      <c r="O84" s="316">
        <f t="shared" si="14"/>
        <v>2359.5</v>
      </c>
      <c r="P84" s="317">
        <f t="shared" si="14"/>
        <v>2462.5</v>
      </c>
      <c r="Q84" s="317">
        <f t="shared" si="14"/>
        <v>2545.6</v>
      </c>
      <c r="R84" s="318">
        <f t="shared" si="14"/>
        <v>2549.1</v>
      </c>
      <c r="S84" s="317">
        <f t="shared" si="14"/>
        <v>2695.3</v>
      </c>
      <c r="T84" s="317">
        <f t="shared" si="14"/>
        <v>2781</v>
      </c>
      <c r="U84" s="317">
        <f t="shared" si="14"/>
        <v>3024</v>
      </c>
      <c r="V84" s="317">
        <f t="shared" si="14"/>
        <v>3160.9</v>
      </c>
      <c r="W84" s="316">
        <f t="shared" si="14"/>
        <v>3312.9</v>
      </c>
      <c r="X84" s="317">
        <f t="shared" si="14"/>
        <v>3232.8</v>
      </c>
    </row>
    <row r="85" spans="1:25" s="268" customFormat="1" ht="22.5" x14ac:dyDescent="0.2">
      <c r="A85" s="323" t="s">
        <v>700</v>
      </c>
      <c r="B85" s="323" t="s">
        <v>646</v>
      </c>
      <c r="C85" s="257" t="s">
        <v>558</v>
      </c>
      <c r="D85" s="258" t="s">
        <v>558</v>
      </c>
      <c r="E85" s="258" t="s">
        <v>558</v>
      </c>
      <c r="F85" s="258" t="s">
        <v>558</v>
      </c>
      <c r="G85" s="257" t="s">
        <v>558</v>
      </c>
      <c r="H85" s="258" t="s">
        <v>558</v>
      </c>
      <c r="I85" s="258" t="s">
        <v>558</v>
      </c>
      <c r="J85" s="258" t="s">
        <v>558</v>
      </c>
      <c r="K85" s="257" t="s">
        <v>558</v>
      </c>
      <c r="L85" s="258" t="s">
        <v>558</v>
      </c>
      <c r="M85" s="258" t="s">
        <v>558</v>
      </c>
      <c r="N85" s="258" t="s">
        <v>558</v>
      </c>
      <c r="O85" s="257" t="s">
        <v>558</v>
      </c>
      <c r="P85" s="258" t="s">
        <v>558</v>
      </c>
      <c r="Q85" s="258" t="s">
        <v>558</v>
      </c>
      <c r="R85" s="258" t="s">
        <v>558</v>
      </c>
      <c r="S85" s="257" t="s">
        <v>558</v>
      </c>
      <c r="T85" s="258" t="s">
        <v>558</v>
      </c>
      <c r="U85" s="258" t="s">
        <v>558</v>
      </c>
      <c r="V85" s="266">
        <f t="shared" si="14"/>
        <v>329.3</v>
      </c>
      <c r="W85" s="324">
        <f t="shared" si="14"/>
        <v>345.8</v>
      </c>
      <c r="X85" s="267">
        <f t="shared" si="14"/>
        <v>162.80000000000001</v>
      </c>
      <c r="Y85" s="239"/>
    </row>
    <row r="86" spans="1:25" x14ac:dyDescent="0.2">
      <c r="A86" s="319" t="s">
        <v>690</v>
      </c>
      <c r="B86" s="319" t="s">
        <v>647</v>
      </c>
      <c r="C86" s="320" t="str">
        <f t="shared" ref="C86:U90" si="15">C31</f>
        <v>-</v>
      </c>
      <c r="D86" s="321" t="str">
        <f t="shared" si="15"/>
        <v>-</v>
      </c>
      <c r="E86" s="321" t="str">
        <f t="shared" si="15"/>
        <v>-</v>
      </c>
      <c r="F86" s="322" t="str">
        <f t="shared" si="15"/>
        <v>-</v>
      </c>
      <c r="G86" s="316">
        <f t="shared" si="15"/>
        <v>0</v>
      </c>
      <c r="H86" s="317">
        <f t="shared" si="15"/>
        <v>0</v>
      </c>
      <c r="I86" s="317">
        <f t="shared" si="15"/>
        <v>0</v>
      </c>
      <c r="J86" s="318">
        <f t="shared" si="15"/>
        <v>1.3</v>
      </c>
      <c r="K86" s="317">
        <f t="shared" si="15"/>
        <v>1.7</v>
      </c>
      <c r="L86" s="317">
        <f t="shared" si="15"/>
        <v>2.2000000000000002</v>
      </c>
      <c r="M86" s="317">
        <f t="shared" si="15"/>
        <v>2.2000000000000002</v>
      </c>
      <c r="N86" s="317">
        <f t="shared" si="15"/>
        <v>2.2000000000000002</v>
      </c>
      <c r="O86" s="316">
        <f t="shared" si="15"/>
        <v>2.2000000000000002</v>
      </c>
      <c r="P86" s="317">
        <f t="shared" si="15"/>
        <v>4.0999999999999996</v>
      </c>
      <c r="Q86" s="317">
        <f t="shared" si="15"/>
        <v>4.5999999999999996</v>
      </c>
      <c r="R86" s="318">
        <f t="shared" si="15"/>
        <v>5.0999999999999996</v>
      </c>
      <c r="S86" s="317">
        <f t="shared" si="15"/>
        <v>5.6</v>
      </c>
      <c r="T86" s="317">
        <f t="shared" si="15"/>
        <v>6.3</v>
      </c>
      <c r="U86" s="317">
        <f t="shared" si="15"/>
        <v>7.1</v>
      </c>
      <c r="V86" s="317">
        <f t="shared" si="14"/>
        <v>7.9</v>
      </c>
      <c r="W86" s="316">
        <f t="shared" si="14"/>
        <v>8.6999999999999993</v>
      </c>
      <c r="X86" s="317">
        <f t="shared" si="14"/>
        <v>9.4</v>
      </c>
    </row>
    <row r="87" spans="1:25" ht="22.5" x14ac:dyDescent="0.2">
      <c r="A87" s="319" t="s">
        <v>691</v>
      </c>
      <c r="B87" s="319" t="s">
        <v>648</v>
      </c>
      <c r="C87" s="320" t="str">
        <f t="shared" si="15"/>
        <v>-</v>
      </c>
      <c r="D87" s="321" t="str">
        <f t="shared" si="15"/>
        <v>-</v>
      </c>
      <c r="E87" s="321" t="str">
        <f t="shared" si="15"/>
        <v>-</v>
      </c>
      <c r="F87" s="322" t="str">
        <f t="shared" si="15"/>
        <v>-</v>
      </c>
      <c r="G87" s="316">
        <f t="shared" si="15"/>
        <v>17.899999999999999</v>
      </c>
      <c r="H87" s="317">
        <f t="shared" si="15"/>
        <v>15.1</v>
      </c>
      <c r="I87" s="317">
        <f t="shared" si="15"/>
        <v>31.6</v>
      </c>
      <c r="J87" s="318">
        <f t="shared" si="15"/>
        <v>27.7</v>
      </c>
      <c r="K87" s="317">
        <f t="shared" si="15"/>
        <v>25.9</v>
      </c>
      <c r="L87" s="317">
        <f t="shared" si="15"/>
        <v>19.3</v>
      </c>
      <c r="M87" s="317">
        <f t="shared" si="15"/>
        <v>13.7</v>
      </c>
      <c r="N87" s="317">
        <f t="shared" si="15"/>
        <v>15.3</v>
      </c>
      <c r="O87" s="316">
        <f t="shared" si="15"/>
        <v>8.4</v>
      </c>
      <c r="P87" s="317">
        <f t="shared" si="15"/>
        <v>8.6</v>
      </c>
      <c r="Q87" s="317">
        <f t="shared" si="15"/>
        <v>7.5</v>
      </c>
      <c r="R87" s="318">
        <f t="shared" si="15"/>
        <v>1.3</v>
      </c>
      <c r="S87" s="317">
        <f t="shared" si="15"/>
        <v>17.600000000000001</v>
      </c>
      <c r="T87" s="317">
        <f t="shared" si="15"/>
        <v>22.2</v>
      </c>
      <c r="U87" s="317">
        <f t="shared" si="15"/>
        <v>0</v>
      </c>
      <c r="V87" s="317">
        <f t="shared" si="14"/>
        <v>8.6999999999999993</v>
      </c>
      <c r="W87" s="316">
        <f t="shared" si="14"/>
        <v>9.1999999999999993</v>
      </c>
      <c r="X87" s="317">
        <f t="shared" si="14"/>
        <v>11</v>
      </c>
    </row>
    <row r="88" spans="1:25" x14ac:dyDescent="0.2">
      <c r="A88" s="319" t="s">
        <v>692</v>
      </c>
      <c r="B88" s="319" t="s">
        <v>649</v>
      </c>
      <c r="C88" s="320" t="str">
        <f t="shared" si="15"/>
        <v>-</v>
      </c>
      <c r="D88" s="321" t="str">
        <f t="shared" si="15"/>
        <v>-</v>
      </c>
      <c r="E88" s="321" t="str">
        <f t="shared" si="15"/>
        <v>-</v>
      </c>
      <c r="F88" s="322" t="str">
        <f t="shared" si="15"/>
        <v>-</v>
      </c>
      <c r="G88" s="316">
        <f t="shared" si="15"/>
        <v>267.5</v>
      </c>
      <c r="H88" s="317">
        <f t="shared" si="15"/>
        <v>267.5</v>
      </c>
      <c r="I88" s="317">
        <f t="shared" si="15"/>
        <v>267.5</v>
      </c>
      <c r="J88" s="318">
        <f t="shared" si="15"/>
        <v>267.5</v>
      </c>
      <c r="K88" s="317">
        <f t="shared" si="15"/>
        <v>286.2</v>
      </c>
      <c r="L88" s="317">
        <f t="shared" si="15"/>
        <v>286.2</v>
      </c>
      <c r="M88" s="317">
        <f t="shared" si="15"/>
        <v>286.2</v>
      </c>
      <c r="N88" s="317">
        <f t="shared" si="15"/>
        <v>286.2</v>
      </c>
      <c r="O88" s="316">
        <f t="shared" si="15"/>
        <v>324.5</v>
      </c>
      <c r="P88" s="317">
        <f t="shared" si="15"/>
        <v>324.5</v>
      </c>
      <c r="Q88" s="317">
        <f t="shared" si="15"/>
        <v>324.5</v>
      </c>
      <c r="R88" s="318">
        <f t="shared" si="15"/>
        <v>324.5</v>
      </c>
      <c r="S88" s="317">
        <f t="shared" si="15"/>
        <v>357.9</v>
      </c>
      <c r="T88" s="317">
        <f t="shared" si="15"/>
        <v>357.9</v>
      </c>
      <c r="U88" s="317">
        <f t="shared" si="15"/>
        <v>357.9</v>
      </c>
      <c r="V88" s="317">
        <f t="shared" si="14"/>
        <v>361</v>
      </c>
      <c r="W88" s="316">
        <f t="shared" si="14"/>
        <v>402.6</v>
      </c>
      <c r="X88" s="317">
        <f t="shared" si="14"/>
        <v>402.6</v>
      </c>
    </row>
    <row r="89" spans="1:25" x14ac:dyDescent="0.2">
      <c r="A89" s="319" t="s">
        <v>693</v>
      </c>
      <c r="B89" s="319" t="s">
        <v>650</v>
      </c>
      <c r="C89" s="320" t="str">
        <f t="shared" si="15"/>
        <v>-</v>
      </c>
      <c r="D89" s="321" t="str">
        <f t="shared" si="15"/>
        <v>-</v>
      </c>
      <c r="E89" s="321" t="str">
        <f t="shared" si="15"/>
        <v>-</v>
      </c>
      <c r="F89" s="322" t="str">
        <f t="shared" si="15"/>
        <v>-</v>
      </c>
      <c r="G89" s="316">
        <f t="shared" si="15"/>
        <v>22.2</v>
      </c>
      <c r="H89" s="317">
        <f t="shared" si="15"/>
        <v>35.6</v>
      </c>
      <c r="I89" s="317">
        <f t="shared" si="15"/>
        <v>58.3</v>
      </c>
      <c r="J89" s="318">
        <f t="shared" si="15"/>
        <v>52</v>
      </c>
      <c r="K89" s="317">
        <f t="shared" si="15"/>
        <v>33.9</v>
      </c>
      <c r="L89" s="317">
        <f t="shared" si="15"/>
        <v>44.3</v>
      </c>
      <c r="M89" s="317">
        <f t="shared" si="15"/>
        <v>39</v>
      </c>
      <c r="N89" s="317">
        <f t="shared" si="15"/>
        <v>48</v>
      </c>
      <c r="O89" s="316">
        <f t="shared" si="15"/>
        <v>44.5</v>
      </c>
      <c r="P89" s="317">
        <f t="shared" si="15"/>
        <v>26.1</v>
      </c>
      <c r="Q89" s="317">
        <f t="shared" si="15"/>
        <v>27.2</v>
      </c>
      <c r="R89" s="318">
        <f t="shared" si="15"/>
        <v>19.7</v>
      </c>
      <c r="S89" s="317">
        <f t="shared" si="15"/>
        <v>38.4</v>
      </c>
      <c r="T89" s="317">
        <f t="shared" si="15"/>
        <v>31.3</v>
      </c>
      <c r="U89" s="317">
        <f t="shared" si="15"/>
        <v>33.200000000000003</v>
      </c>
      <c r="V89" s="317">
        <f t="shared" si="14"/>
        <v>24.8</v>
      </c>
      <c r="W89" s="316">
        <f t="shared" si="14"/>
        <v>32.9</v>
      </c>
      <c r="X89" s="317">
        <f t="shared" si="14"/>
        <v>21.7</v>
      </c>
    </row>
    <row r="90" spans="1:25" x14ac:dyDescent="0.2">
      <c r="A90" s="319" t="s">
        <v>694</v>
      </c>
      <c r="B90" s="319" t="s">
        <v>651</v>
      </c>
      <c r="C90" s="320" t="str">
        <f t="shared" si="15"/>
        <v>-</v>
      </c>
      <c r="D90" s="321" t="str">
        <f t="shared" si="15"/>
        <v>-</v>
      </c>
      <c r="E90" s="321" t="str">
        <f t="shared" si="15"/>
        <v>-</v>
      </c>
      <c r="F90" s="322" t="str">
        <f t="shared" si="15"/>
        <v>-</v>
      </c>
      <c r="G90" s="316">
        <f t="shared" si="15"/>
        <v>0</v>
      </c>
      <c r="H90" s="317">
        <f t="shared" si="15"/>
        <v>0</v>
      </c>
      <c r="I90" s="317">
        <f t="shared" si="15"/>
        <v>0</v>
      </c>
      <c r="J90" s="318">
        <f t="shared" si="15"/>
        <v>0</v>
      </c>
      <c r="K90" s="317">
        <f t="shared" si="15"/>
        <v>0</v>
      </c>
      <c r="L90" s="317">
        <f t="shared" si="15"/>
        <v>0</v>
      </c>
      <c r="M90" s="317">
        <f t="shared" si="15"/>
        <v>0</v>
      </c>
      <c r="N90" s="317">
        <f t="shared" si="15"/>
        <v>0</v>
      </c>
      <c r="O90" s="316">
        <f t="shared" si="15"/>
        <v>0</v>
      </c>
      <c r="P90" s="317">
        <f t="shared" si="15"/>
        <v>0</v>
      </c>
      <c r="Q90" s="317">
        <f t="shared" si="15"/>
        <v>0</v>
      </c>
      <c r="R90" s="318">
        <f t="shared" si="15"/>
        <v>12</v>
      </c>
      <c r="S90" s="317">
        <f t="shared" si="15"/>
        <v>1.2</v>
      </c>
      <c r="T90" s="317">
        <f t="shared" si="15"/>
        <v>0.9</v>
      </c>
      <c r="U90" s="317">
        <f t="shared" si="15"/>
        <v>33.4</v>
      </c>
      <c r="V90" s="317">
        <f t="shared" si="14"/>
        <v>0</v>
      </c>
      <c r="W90" s="316">
        <f t="shared" si="14"/>
        <v>0</v>
      </c>
      <c r="X90" s="317">
        <f t="shared" si="14"/>
        <v>0</v>
      </c>
    </row>
    <row r="91" spans="1:25" ht="13.5" thickBot="1" x14ac:dyDescent="0.25">
      <c r="A91" s="319"/>
      <c r="B91" s="319"/>
      <c r="C91" s="320"/>
      <c r="D91" s="321"/>
      <c r="E91" s="321"/>
      <c r="F91" s="322"/>
      <c r="G91" s="316"/>
      <c r="H91" s="317"/>
      <c r="I91" s="317"/>
      <c r="J91" s="318"/>
      <c r="K91" s="317"/>
      <c r="L91" s="317"/>
      <c r="M91" s="317"/>
      <c r="N91" s="317"/>
      <c r="O91" s="316"/>
      <c r="P91" s="317"/>
      <c r="Q91" s="317"/>
      <c r="R91" s="318"/>
      <c r="S91" s="317"/>
      <c r="T91" s="317"/>
      <c r="U91" s="317"/>
      <c r="V91" s="317"/>
      <c r="W91" s="316"/>
      <c r="X91" s="317"/>
    </row>
    <row r="92" spans="1:25" customFormat="1" ht="24.75" thickBot="1" x14ac:dyDescent="0.25">
      <c r="A92" s="361" t="s">
        <v>701</v>
      </c>
      <c r="B92" s="361" t="s">
        <v>652</v>
      </c>
      <c r="C92" s="362" t="s">
        <v>558</v>
      </c>
      <c r="D92" s="363" t="s">
        <v>558</v>
      </c>
      <c r="E92" s="363" t="s">
        <v>558</v>
      </c>
      <c r="F92" s="364" t="s">
        <v>558</v>
      </c>
      <c r="G92" s="362" t="s">
        <v>558</v>
      </c>
      <c r="H92" s="363" t="s">
        <v>558</v>
      </c>
      <c r="I92" s="363" t="s">
        <v>558</v>
      </c>
      <c r="J92" s="364" t="s">
        <v>558</v>
      </c>
      <c r="K92" s="363" t="s">
        <v>558</v>
      </c>
      <c r="L92" s="363" t="s">
        <v>558</v>
      </c>
      <c r="M92" s="363" t="s">
        <v>558</v>
      </c>
      <c r="N92" s="363" t="s">
        <v>558</v>
      </c>
      <c r="O92" s="362" t="s">
        <v>558</v>
      </c>
      <c r="P92" s="363" t="s">
        <v>558</v>
      </c>
      <c r="Q92" s="363" t="s">
        <v>558</v>
      </c>
      <c r="R92" s="364" t="s">
        <v>558</v>
      </c>
      <c r="S92" s="363" t="s">
        <v>558</v>
      </c>
      <c r="T92" s="363" t="s">
        <v>558</v>
      </c>
      <c r="U92" s="363" t="s">
        <v>558</v>
      </c>
      <c r="V92" s="363">
        <f t="shared" ref="V92:W92" si="16">SUM(V84,V86:V90)-V85</f>
        <v>3234</v>
      </c>
      <c r="W92" s="362">
        <f t="shared" si="16"/>
        <v>3420.4999999999995</v>
      </c>
      <c r="X92" s="363">
        <f>SUM(X84,X86:X90)-X85</f>
        <v>3514.7</v>
      </c>
      <c r="Y92" s="167"/>
    </row>
    <row r="93" spans="1:25" ht="13.5" thickBot="1" x14ac:dyDescent="0.25">
      <c r="A93" s="325"/>
      <c r="B93" s="325"/>
      <c r="C93" s="316"/>
      <c r="D93" s="317"/>
      <c r="E93" s="317"/>
      <c r="F93" s="318"/>
      <c r="G93" s="316"/>
      <c r="H93" s="317"/>
      <c r="I93" s="317"/>
      <c r="J93" s="318"/>
      <c r="K93" s="317"/>
      <c r="L93" s="317"/>
      <c r="M93" s="317"/>
      <c r="N93" s="317"/>
      <c r="O93" s="316"/>
      <c r="P93" s="317"/>
      <c r="Q93" s="317"/>
      <c r="R93" s="318"/>
      <c r="S93" s="317"/>
      <c r="T93" s="317"/>
      <c r="U93" s="317"/>
      <c r="V93" s="317"/>
      <c r="W93" s="316"/>
      <c r="X93" s="317"/>
    </row>
    <row r="94" spans="1:25" customFormat="1" ht="24.75" thickBot="1" x14ac:dyDescent="0.25">
      <c r="A94" s="361" t="s">
        <v>702</v>
      </c>
      <c r="B94" s="361" t="s">
        <v>653</v>
      </c>
      <c r="C94" s="362">
        <f>C36</f>
        <v>1638.9</v>
      </c>
      <c r="D94" s="363">
        <f>D36</f>
        <v>1748.2</v>
      </c>
      <c r="E94" s="363">
        <f>E36</f>
        <v>1882.9</v>
      </c>
      <c r="F94" s="364">
        <f>F36</f>
        <v>1787.7</v>
      </c>
      <c r="G94" s="362">
        <f t="shared" ref="G94:W94" si="17">SUM(G84,G86:G90)</f>
        <v>2352.1999999999998</v>
      </c>
      <c r="H94" s="363">
        <f t="shared" si="17"/>
        <v>2281.7999999999997</v>
      </c>
      <c r="I94" s="363">
        <f t="shared" si="17"/>
        <v>2514.4</v>
      </c>
      <c r="J94" s="364">
        <f t="shared" si="17"/>
        <v>2902.2</v>
      </c>
      <c r="K94" s="363">
        <f t="shared" si="17"/>
        <v>2934.3999999999996</v>
      </c>
      <c r="L94" s="363">
        <f t="shared" si="17"/>
        <v>2821.9</v>
      </c>
      <c r="M94" s="363">
        <f t="shared" si="17"/>
        <v>2725.1999999999994</v>
      </c>
      <c r="N94" s="363">
        <f t="shared" si="17"/>
        <v>2744.7</v>
      </c>
      <c r="O94" s="362">
        <f t="shared" si="17"/>
        <v>2739.1</v>
      </c>
      <c r="P94" s="363">
        <f t="shared" si="17"/>
        <v>2825.7999999999997</v>
      </c>
      <c r="Q94" s="363">
        <f t="shared" si="17"/>
        <v>2909.3999999999996</v>
      </c>
      <c r="R94" s="364">
        <f t="shared" si="17"/>
        <v>2911.7</v>
      </c>
      <c r="S94" s="363">
        <f t="shared" si="17"/>
        <v>3116</v>
      </c>
      <c r="T94" s="363">
        <f t="shared" si="17"/>
        <v>3199.6000000000004</v>
      </c>
      <c r="U94" s="363">
        <f t="shared" si="17"/>
        <v>3455.6</v>
      </c>
      <c r="V94" s="363">
        <f t="shared" si="17"/>
        <v>3563.3</v>
      </c>
      <c r="W94" s="362">
        <f t="shared" si="17"/>
        <v>3766.2999999999997</v>
      </c>
      <c r="X94" s="363">
        <f>SUM(X84,X86:X90)</f>
        <v>3677.5</v>
      </c>
      <c r="Y94" s="167"/>
    </row>
    <row r="95" spans="1:25" x14ac:dyDescent="0.2">
      <c r="A95" s="325"/>
      <c r="B95" s="325"/>
      <c r="C95" s="316"/>
      <c r="D95" s="317"/>
      <c r="E95" s="317"/>
      <c r="F95" s="318"/>
      <c r="G95" s="316"/>
      <c r="H95" s="317"/>
      <c r="I95" s="317"/>
      <c r="J95" s="318"/>
      <c r="K95" s="317"/>
      <c r="L95" s="317"/>
      <c r="M95" s="317"/>
      <c r="N95" s="317"/>
      <c r="O95" s="316"/>
      <c r="P95" s="317"/>
      <c r="Q95" s="317"/>
      <c r="R95" s="318"/>
      <c r="S95" s="317"/>
      <c r="T95" s="317"/>
      <c r="U95" s="317"/>
      <c r="V95" s="317"/>
      <c r="W95" s="316"/>
      <c r="X95" s="317"/>
    </row>
    <row r="96" spans="1:25" x14ac:dyDescent="0.2">
      <c r="A96" s="226" t="s">
        <v>703</v>
      </c>
      <c r="B96" s="326" t="s">
        <v>654</v>
      </c>
      <c r="C96" s="327">
        <f>C98</f>
        <v>0.1318</v>
      </c>
      <c r="D96" s="328">
        <f t="shared" ref="D96:U96" si="18">D98</f>
        <v>0.1255</v>
      </c>
      <c r="E96" s="328">
        <f t="shared" si="18"/>
        <v>0.1217</v>
      </c>
      <c r="F96" s="329">
        <f t="shared" si="18"/>
        <v>0.1203</v>
      </c>
      <c r="G96" s="327">
        <f t="shared" si="18"/>
        <v>0.10249999999999999</v>
      </c>
      <c r="H96" s="328">
        <f t="shared" si="18"/>
        <v>0.1033</v>
      </c>
      <c r="I96" s="328">
        <f t="shared" si="18"/>
        <v>0.11310000000000001</v>
      </c>
      <c r="J96" s="329">
        <f t="shared" si="18"/>
        <v>9.8299999999999998E-2</v>
      </c>
      <c r="K96" s="328">
        <f t="shared" si="18"/>
        <v>9.3899999999999997E-2</v>
      </c>
      <c r="L96" s="328">
        <f t="shared" si="18"/>
        <v>9.9299999999999999E-2</v>
      </c>
      <c r="M96" s="328">
        <f t="shared" si="18"/>
        <v>0.11210000000000001</v>
      </c>
      <c r="N96" s="328">
        <f t="shared" si="18"/>
        <v>0.1124</v>
      </c>
      <c r="O96" s="327">
        <f t="shared" si="18"/>
        <v>0.12180000000000001</v>
      </c>
      <c r="P96" s="328">
        <f t="shared" si="18"/>
        <v>0.1159</v>
      </c>
      <c r="Q96" s="328">
        <f t="shared" si="18"/>
        <v>0.1236</v>
      </c>
      <c r="R96" s="329">
        <f t="shared" si="18"/>
        <v>0.122</v>
      </c>
      <c r="S96" s="328">
        <f t="shared" si="18"/>
        <v>0.1173</v>
      </c>
      <c r="T96" s="328">
        <f t="shared" si="18"/>
        <v>0.11609999999999999</v>
      </c>
      <c r="U96" s="328">
        <f t="shared" si="18"/>
        <v>0.1178</v>
      </c>
      <c r="V96" s="328">
        <f t="shared" ref="V96:W96" si="19">ROUND(V75/(V94*12.5),4)</f>
        <v>0.1158</v>
      </c>
      <c r="W96" s="327">
        <f t="shared" si="19"/>
        <v>0.1157</v>
      </c>
      <c r="X96" s="328">
        <f>ROUND(X75/(X94*12.5),4)</f>
        <v>0.124</v>
      </c>
    </row>
    <row r="97" spans="1:25" x14ac:dyDescent="0.2">
      <c r="A97" s="326" t="s">
        <v>705</v>
      </c>
      <c r="B97" s="326" t="s">
        <v>655</v>
      </c>
      <c r="C97" s="327" t="s">
        <v>558</v>
      </c>
      <c r="D97" s="328" t="s">
        <v>558</v>
      </c>
      <c r="E97" s="328" t="s">
        <v>558</v>
      </c>
      <c r="F97" s="329" t="s">
        <v>558</v>
      </c>
      <c r="G97" s="327" t="s">
        <v>558</v>
      </c>
      <c r="H97" s="328" t="s">
        <v>558</v>
      </c>
      <c r="I97" s="328" t="s">
        <v>558</v>
      </c>
      <c r="J97" s="329" t="s">
        <v>558</v>
      </c>
      <c r="K97" s="328" t="s">
        <v>558</v>
      </c>
      <c r="L97" s="328" t="s">
        <v>558</v>
      </c>
      <c r="M97" s="328" t="s">
        <v>558</v>
      </c>
      <c r="N97" s="328" t="s">
        <v>558</v>
      </c>
      <c r="O97" s="327" t="s">
        <v>558</v>
      </c>
      <c r="P97" s="328" t="s">
        <v>558</v>
      </c>
      <c r="Q97" s="328" t="s">
        <v>558</v>
      </c>
      <c r="R97" s="329" t="s">
        <v>558</v>
      </c>
      <c r="S97" s="328" t="s">
        <v>558</v>
      </c>
      <c r="T97" s="328" t="s">
        <v>558</v>
      </c>
      <c r="U97" s="328" t="s">
        <v>558</v>
      </c>
      <c r="V97" s="328">
        <f t="shared" ref="V97:W97" si="20">ROUND(V75/(V92*12.5),4)</f>
        <v>0.12759999999999999</v>
      </c>
      <c r="W97" s="327">
        <f t="shared" si="20"/>
        <v>0.12740000000000001</v>
      </c>
      <c r="X97" s="328">
        <f>ROUND(X75/(X92*12.5),4)</f>
        <v>0.12970000000000001</v>
      </c>
    </row>
    <row r="98" spans="1:25" x14ac:dyDescent="0.2">
      <c r="A98" s="226" t="s">
        <v>704</v>
      </c>
      <c r="B98" s="326" t="s">
        <v>656</v>
      </c>
      <c r="C98" s="327">
        <f t="shared" ref="C98:W98" si="21">ROUND(C79/(C94*12.5),4)</f>
        <v>0.1318</v>
      </c>
      <c r="D98" s="328">
        <f t="shared" si="21"/>
        <v>0.1255</v>
      </c>
      <c r="E98" s="328">
        <f t="shared" si="21"/>
        <v>0.1217</v>
      </c>
      <c r="F98" s="329">
        <f t="shared" si="21"/>
        <v>0.1203</v>
      </c>
      <c r="G98" s="327">
        <f t="shared" si="21"/>
        <v>0.10249999999999999</v>
      </c>
      <c r="H98" s="328">
        <f t="shared" si="21"/>
        <v>0.1033</v>
      </c>
      <c r="I98" s="328">
        <f t="shared" si="21"/>
        <v>0.11310000000000001</v>
      </c>
      <c r="J98" s="329">
        <f t="shared" si="21"/>
        <v>9.8299999999999998E-2</v>
      </c>
      <c r="K98" s="328">
        <f t="shared" si="21"/>
        <v>9.3899999999999997E-2</v>
      </c>
      <c r="L98" s="328">
        <f t="shared" si="21"/>
        <v>9.9299999999999999E-2</v>
      </c>
      <c r="M98" s="328">
        <f t="shared" si="21"/>
        <v>0.11210000000000001</v>
      </c>
      <c r="N98" s="328">
        <f t="shared" si="21"/>
        <v>0.1124</v>
      </c>
      <c r="O98" s="327">
        <f t="shared" si="21"/>
        <v>0.12180000000000001</v>
      </c>
      <c r="P98" s="328">
        <f t="shared" si="21"/>
        <v>0.1159</v>
      </c>
      <c r="Q98" s="328">
        <f t="shared" si="21"/>
        <v>0.1236</v>
      </c>
      <c r="R98" s="329">
        <f t="shared" si="21"/>
        <v>0.122</v>
      </c>
      <c r="S98" s="328">
        <f t="shared" si="21"/>
        <v>0.1173</v>
      </c>
      <c r="T98" s="328">
        <f t="shared" si="21"/>
        <v>0.11609999999999999</v>
      </c>
      <c r="U98" s="328">
        <f t="shared" si="21"/>
        <v>0.1178</v>
      </c>
      <c r="V98" s="328">
        <f t="shared" si="21"/>
        <v>0.1193</v>
      </c>
      <c r="W98" s="327">
        <f t="shared" si="21"/>
        <v>0.11899999999999999</v>
      </c>
      <c r="X98" s="328">
        <f>ROUND(X79/(X94*12.5),4)</f>
        <v>0.12709999999999999</v>
      </c>
    </row>
    <row r="99" spans="1:25" x14ac:dyDescent="0.2">
      <c r="A99" s="180"/>
      <c r="B99" s="278"/>
      <c r="C99" s="277"/>
      <c r="D99" s="278"/>
      <c r="E99" s="278"/>
      <c r="F99" s="279"/>
      <c r="G99" s="277"/>
      <c r="H99" s="278"/>
      <c r="I99" s="278"/>
      <c r="J99" s="279"/>
      <c r="K99" s="278"/>
      <c r="L99" s="278"/>
      <c r="M99" s="278"/>
      <c r="N99" s="278"/>
      <c r="O99" s="277"/>
      <c r="P99" s="278"/>
      <c r="Q99" s="278"/>
      <c r="R99" s="279"/>
      <c r="S99" s="278"/>
      <c r="T99" s="278"/>
      <c r="U99" s="278"/>
      <c r="V99" s="278"/>
      <c r="W99" s="277"/>
      <c r="X99" s="278"/>
    </row>
    <row r="100" spans="1:25" s="334" customFormat="1" ht="12" x14ac:dyDescent="0.2">
      <c r="A100" s="230" t="s">
        <v>706</v>
      </c>
      <c r="B100" s="330" t="s">
        <v>657</v>
      </c>
      <c r="C100" s="331">
        <f>C102</f>
        <v>0.12989999999999999</v>
      </c>
      <c r="D100" s="331">
        <f t="shared" ref="D100:U100" si="22">D102</f>
        <v>0.12509999999999999</v>
      </c>
      <c r="E100" s="331">
        <f t="shared" si="22"/>
        <v>0.1157</v>
      </c>
      <c r="F100" s="332">
        <f t="shared" si="22"/>
        <v>0.1163</v>
      </c>
      <c r="G100" s="331">
        <f t="shared" si="22"/>
        <v>0.1011</v>
      </c>
      <c r="H100" s="331">
        <f t="shared" si="22"/>
        <v>0.10150000000000001</v>
      </c>
      <c r="I100" s="331">
        <f t="shared" si="22"/>
        <v>0.11020000000000001</v>
      </c>
      <c r="J100" s="332">
        <f t="shared" si="22"/>
        <v>9.6100000000000005E-2</v>
      </c>
      <c r="K100" s="333">
        <f t="shared" si="22"/>
        <v>9.3899999999999997E-2</v>
      </c>
      <c r="L100" s="331">
        <f t="shared" si="22"/>
        <v>9.7500000000000003E-2</v>
      </c>
      <c r="M100" s="331">
        <f t="shared" si="22"/>
        <v>0.1105</v>
      </c>
      <c r="N100" s="331">
        <f t="shared" si="22"/>
        <v>0.1105</v>
      </c>
      <c r="O100" s="331">
        <f t="shared" si="22"/>
        <v>0.1202</v>
      </c>
      <c r="P100" s="331">
        <f t="shared" si="22"/>
        <v>0.1148</v>
      </c>
      <c r="Q100" s="331">
        <f t="shared" si="22"/>
        <v>0.1225</v>
      </c>
      <c r="R100" s="332">
        <f t="shared" si="22"/>
        <v>0.12130000000000001</v>
      </c>
      <c r="S100" s="333">
        <f t="shared" si="22"/>
        <v>0.1157</v>
      </c>
      <c r="T100" s="331">
        <f t="shared" si="22"/>
        <v>0.11459999999999999</v>
      </c>
      <c r="U100" s="331">
        <f t="shared" si="22"/>
        <v>0.1169</v>
      </c>
      <c r="V100" s="331">
        <f t="shared" ref="V100:W100" si="23">ROUND(V76/(V94*12.5),4)</f>
        <v>0.1149</v>
      </c>
      <c r="W100" s="331">
        <f t="shared" si="23"/>
        <v>0.11459999999999999</v>
      </c>
      <c r="X100" s="333">
        <f>ROUND(X76/(X94*12.5),4)</f>
        <v>0.123</v>
      </c>
      <c r="Y100" s="239"/>
    </row>
    <row r="101" spans="1:25" s="334" customFormat="1" ht="12" x14ac:dyDescent="0.2">
      <c r="A101" s="230" t="s">
        <v>708</v>
      </c>
      <c r="B101" s="330" t="s">
        <v>658</v>
      </c>
      <c r="C101" s="327" t="s">
        <v>558</v>
      </c>
      <c r="D101" s="328" t="s">
        <v>558</v>
      </c>
      <c r="E101" s="328" t="s">
        <v>558</v>
      </c>
      <c r="F101" s="329" t="s">
        <v>558</v>
      </c>
      <c r="G101" s="327" t="s">
        <v>558</v>
      </c>
      <c r="H101" s="328" t="s">
        <v>558</v>
      </c>
      <c r="I101" s="328" t="s">
        <v>558</v>
      </c>
      <c r="J101" s="329" t="s">
        <v>558</v>
      </c>
      <c r="K101" s="328" t="s">
        <v>558</v>
      </c>
      <c r="L101" s="328" t="s">
        <v>558</v>
      </c>
      <c r="M101" s="328" t="s">
        <v>558</v>
      </c>
      <c r="N101" s="328" t="s">
        <v>558</v>
      </c>
      <c r="O101" s="327" t="s">
        <v>558</v>
      </c>
      <c r="P101" s="328" t="s">
        <v>558</v>
      </c>
      <c r="Q101" s="328" t="s">
        <v>558</v>
      </c>
      <c r="R101" s="329" t="s">
        <v>558</v>
      </c>
      <c r="S101" s="328" t="s">
        <v>558</v>
      </c>
      <c r="T101" s="328" t="s">
        <v>558</v>
      </c>
      <c r="U101" s="328" t="s">
        <v>558</v>
      </c>
      <c r="V101" s="331">
        <f t="shared" ref="V101:W101" si="24">ROUND(V76/(V92*12.5),4)</f>
        <v>0.12659999999999999</v>
      </c>
      <c r="W101" s="331">
        <f t="shared" si="24"/>
        <v>0.12620000000000001</v>
      </c>
      <c r="X101" s="333">
        <f>ROUND(X76/(X92*12.5),4)</f>
        <v>0.12870000000000001</v>
      </c>
      <c r="Y101" s="239"/>
    </row>
    <row r="102" spans="1:25" s="334" customFormat="1" ht="12" x14ac:dyDescent="0.2">
      <c r="A102" s="330" t="s">
        <v>707</v>
      </c>
      <c r="B102" s="330" t="s">
        <v>659</v>
      </c>
      <c r="C102" s="331">
        <f t="shared" ref="C102:W102" si="25">ROUND(C80/(C94*12.5),4)</f>
        <v>0.12989999999999999</v>
      </c>
      <c r="D102" s="331">
        <f t="shared" si="25"/>
        <v>0.12509999999999999</v>
      </c>
      <c r="E102" s="331">
        <f t="shared" si="25"/>
        <v>0.1157</v>
      </c>
      <c r="F102" s="332">
        <f t="shared" si="25"/>
        <v>0.1163</v>
      </c>
      <c r="G102" s="331">
        <f t="shared" si="25"/>
        <v>0.1011</v>
      </c>
      <c r="H102" s="331">
        <f t="shared" si="25"/>
        <v>0.10150000000000001</v>
      </c>
      <c r="I102" s="331">
        <f t="shared" si="25"/>
        <v>0.11020000000000001</v>
      </c>
      <c r="J102" s="332">
        <f t="shared" si="25"/>
        <v>9.6100000000000005E-2</v>
      </c>
      <c r="K102" s="333">
        <f t="shared" si="25"/>
        <v>9.3899999999999997E-2</v>
      </c>
      <c r="L102" s="331">
        <f t="shared" si="25"/>
        <v>9.7500000000000003E-2</v>
      </c>
      <c r="M102" s="331">
        <f t="shared" si="25"/>
        <v>0.1105</v>
      </c>
      <c r="N102" s="331">
        <f t="shared" si="25"/>
        <v>0.1105</v>
      </c>
      <c r="O102" s="331">
        <f t="shared" si="25"/>
        <v>0.1202</v>
      </c>
      <c r="P102" s="331">
        <f t="shared" si="25"/>
        <v>0.1148</v>
      </c>
      <c r="Q102" s="331">
        <f t="shared" si="25"/>
        <v>0.1225</v>
      </c>
      <c r="R102" s="332">
        <f t="shared" si="25"/>
        <v>0.12130000000000001</v>
      </c>
      <c r="S102" s="333">
        <f t="shared" si="25"/>
        <v>0.1157</v>
      </c>
      <c r="T102" s="331">
        <f t="shared" si="25"/>
        <v>0.11459999999999999</v>
      </c>
      <c r="U102" s="331">
        <f t="shared" si="25"/>
        <v>0.1169</v>
      </c>
      <c r="V102" s="331">
        <f t="shared" si="25"/>
        <v>0.1183</v>
      </c>
      <c r="W102" s="331">
        <f t="shared" si="25"/>
        <v>0.1179</v>
      </c>
      <c r="X102" s="333">
        <f>ROUND(X80/(X94*12.5),4)</f>
        <v>0.12620000000000001</v>
      </c>
      <c r="Y102" s="239"/>
    </row>
  </sheetData>
  <mergeCells count="8">
    <mergeCell ref="S10:V10"/>
    <mergeCell ref="W10:X10"/>
    <mergeCell ref="A10:A11"/>
    <mergeCell ref="B10:B11"/>
    <mergeCell ref="C10:F10"/>
    <mergeCell ref="G10:J10"/>
    <mergeCell ref="K10:N10"/>
    <mergeCell ref="O10:R10"/>
  </mergeCells>
  <pageMargins left="0.25" right="0.25" top="0.75" bottom="0.75" header="0.3" footer="0.3"/>
  <pageSetup paperSize="9" scale="52" orientation="landscape" r:id="rId1"/>
  <rowBreaks count="1" manualBreakCount="1">
    <brk id="40"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9"/>
  <sheetViews>
    <sheetView showGridLines="0" view="pageBreakPreview" zoomScaleNormal="100" zoomScaleSheetLayoutView="100" zoomScalePageLayoutView="80" workbookViewId="0">
      <selection activeCell="L25" sqref="L25"/>
    </sheetView>
  </sheetViews>
  <sheetFormatPr defaultColWidth="8.85546875" defaultRowHeight="12.75" outlineLevelCol="1" x14ac:dyDescent="0.2"/>
  <cols>
    <col min="1" max="1" customWidth="true" style="2" width="45.42578125" collapsed="true"/>
    <col min="2" max="2" customWidth="true" hidden="true" style="2" width="45.42578125" collapsed="true" outlineLevel="1"/>
    <col min="3" max="3" bestFit="true" customWidth="true" style="3" width="6.42578125" collapsed="true"/>
    <col min="4" max="24" bestFit="true" customWidth="true" style="3" width="6.42578125" collapsed="true"/>
    <col min="25" max="16384" style="3" width="8.85546875" collapsed="true"/>
  </cols>
  <sheetData>
    <row r="2" spans="1:24" x14ac:dyDescent="0.2">
      <c r="A2" s="385" t="s">
        <v>466</v>
      </c>
      <c r="B2" s="385" t="s">
        <v>221</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4"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4" s="4" customFormat="1" ht="12.75" customHeight="1" x14ac:dyDescent="0.2">
      <c r="A4" s="21"/>
      <c r="B4" s="21"/>
      <c r="C4" s="17"/>
      <c r="D4" s="6"/>
      <c r="E4" s="6"/>
      <c r="F4" s="6"/>
      <c r="G4" s="17"/>
      <c r="H4" s="6"/>
      <c r="I4" s="6"/>
      <c r="J4" s="19"/>
      <c r="K4" s="17"/>
      <c r="L4" s="6"/>
      <c r="M4" s="6"/>
      <c r="N4" s="19"/>
      <c r="O4" s="17"/>
      <c r="P4" s="6"/>
      <c r="Q4" s="6"/>
      <c r="R4" s="19"/>
      <c r="S4" s="17"/>
      <c r="T4" s="6"/>
      <c r="U4" s="6"/>
      <c r="V4" s="19"/>
      <c r="W4" s="17"/>
      <c r="X4" s="6"/>
    </row>
    <row r="5" spans="1:24" s="8" customFormat="1" x14ac:dyDescent="0.2">
      <c r="A5" s="98" t="s">
        <v>467</v>
      </c>
      <c r="B5" s="98" t="s">
        <v>222</v>
      </c>
      <c r="C5" s="17"/>
      <c r="D5" s="6"/>
      <c r="E5" s="6"/>
      <c r="F5" s="6"/>
      <c r="G5" s="17"/>
      <c r="H5" s="6"/>
      <c r="I5" s="6"/>
      <c r="J5" s="19"/>
      <c r="K5" s="17"/>
      <c r="L5" s="6"/>
      <c r="M5" s="6"/>
      <c r="N5" s="19"/>
      <c r="O5" s="17"/>
      <c r="P5" s="6"/>
      <c r="Q5" s="6"/>
      <c r="R5" s="19"/>
      <c r="S5" s="17"/>
      <c r="T5" s="6"/>
      <c r="U5" s="6"/>
      <c r="V5" s="19"/>
      <c r="W5" s="17"/>
      <c r="X5" s="6"/>
    </row>
    <row r="6" spans="1:24" s="8" customFormat="1" x14ac:dyDescent="0.2">
      <c r="A6" s="41" t="s">
        <v>468</v>
      </c>
      <c r="B6" s="41" t="s">
        <v>223</v>
      </c>
      <c r="C6" s="17"/>
      <c r="D6" s="6"/>
      <c r="E6" s="6"/>
      <c r="F6" s="6"/>
      <c r="G6" s="17"/>
      <c r="H6" s="6"/>
      <c r="I6" s="6"/>
      <c r="J6" s="19"/>
      <c r="K6" s="17"/>
      <c r="L6" s="6"/>
      <c r="M6" s="6"/>
      <c r="N6" s="19"/>
      <c r="O6" s="17"/>
      <c r="P6" s="6"/>
      <c r="Q6" s="6"/>
      <c r="R6" s="19"/>
      <c r="S6" s="17"/>
      <c r="T6" s="6"/>
      <c r="U6" s="6"/>
      <c r="V6" s="19"/>
      <c r="W6" s="17"/>
      <c r="X6" s="6"/>
    </row>
    <row r="7" spans="1:24" s="8" customFormat="1" x14ac:dyDescent="0.2">
      <c r="A7" s="41" t="s">
        <v>469</v>
      </c>
      <c r="B7" s="41" t="s">
        <v>604</v>
      </c>
      <c r="C7" s="22">
        <v>7592</v>
      </c>
      <c r="D7" s="20">
        <v>7683</v>
      </c>
      <c r="E7" s="20">
        <v>7831</v>
      </c>
      <c r="F7" s="20">
        <v>8074</v>
      </c>
      <c r="G7" s="22">
        <v>8188</v>
      </c>
      <c r="H7" s="20">
        <v>8387</v>
      </c>
      <c r="I7" s="20">
        <v>8434</v>
      </c>
      <c r="J7" s="23">
        <v>8577</v>
      </c>
      <c r="K7" s="22">
        <v>8522</v>
      </c>
      <c r="L7" s="20">
        <v>8378</v>
      </c>
      <c r="M7" s="20">
        <v>8291</v>
      </c>
      <c r="N7" s="23">
        <v>8291</v>
      </c>
      <c r="O7" s="22">
        <v>8327</v>
      </c>
      <c r="P7" s="20">
        <v>8438</v>
      </c>
      <c r="Q7" s="20">
        <v>8525</v>
      </c>
      <c r="R7" s="23">
        <v>8472</v>
      </c>
      <c r="S7" s="22">
        <v>8522</v>
      </c>
      <c r="T7" s="20">
        <v>8502</v>
      </c>
      <c r="U7" s="20">
        <v>8398</v>
      </c>
      <c r="V7" s="23">
        <v>8409</v>
      </c>
      <c r="W7" s="22">
        <v>8665</v>
      </c>
      <c r="X7" s="20">
        <v>8712</v>
      </c>
    </row>
    <row r="8" spans="1:24" s="4" customFormat="1" x14ac:dyDescent="0.2">
      <c r="A8" s="41" t="s">
        <v>470</v>
      </c>
      <c r="B8" s="41" t="s">
        <v>605</v>
      </c>
      <c r="C8" s="22">
        <v>7355</v>
      </c>
      <c r="D8" s="20">
        <v>7448</v>
      </c>
      <c r="E8" s="20">
        <v>7598</v>
      </c>
      <c r="F8" s="20">
        <v>7842</v>
      </c>
      <c r="G8" s="22">
        <v>8009</v>
      </c>
      <c r="H8" s="20">
        <v>8209</v>
      </c>
      <c r="I8" s="20">
        <v>8259</v>
      </c>
      <c r="J8" s="23">
        <v>8414</v>
      </c>
      <c r="K8" s="22">
        <v>8365</v>
      </c>
      <c r="L8" s="20">
        <v>8238</v>
      </c>
      <c r="M8" s="20">
        <v>8154</v>
      </c>
      <c r="N8" s="23">
        <v>8147</v>
      </c>
      <c r="O8" s="22">
        <v>8183</v>
      </c>
      <c r="P8" s="20">
        <v>8295</v>
      </c>
      <c r="Q8" s="20">
        <v>8391</v>
      </c>
      <c r="R8" s="23">
        <v>8332</v>
      </c>
      <c r="S8" s="22">
        <v>8384</v>
      </c>
      <c r="T8" s="20">
        <v>8362</v>
      </c>
      <c r="U8" s="20">
        <v>8253</v>
      </c>
      <c r="V8" s="23">
        <v>8263</v>
      </c>
      <c r="W8" s="22">
        <v>8514</v>
      </c>
      <c r="X8" s="20">
        <v>8557</v>
      </c>
    </row>
    <row r="9" spans="1:24" s="10" customFormat="1" x14ac:dyDescent="0.2">
      <c r="A9" s="41" t="s">
        <v>471</v>
      </c>
      <c r="B9" s="41" t="s">
        <v>224</v>
      </c>
      <c r="C9" s="22"/>
      <c r="D9" s="20"/>
      <c r="E9" s="20"/>
      <c r="F9" s="20"/>
      <c r="G9" s="22"/>
      <c r="H9" s="20"/>
      <c r="I9" s="20"/>
      <c r="J9" s="23"/>
      <c r="K9" s="22"/>
      <c r="L9" s="20"/>
      <c r="M9" s="20"/>
      <c r="N9" s="23"/>
      <c r="O9" s="22"/>
      <c r="P9" s="20"/>
      <c r="Q9" s="20"/>
      <c r="R9" s="23"/>
      <c r="S9" s="22"/>
      <c r="T9" s="20"/>
      <c r="U9" s="20"/>
      <c r="V9" s="23"/>
      <c r="W9" s="22"/>
      <c r="X9" s="20"/>
    </row>
    <row r="10" spans="1:24" s="10" customFormat="1" x14ac:dyDescent="0.2">
      <c r="A10" s="41" t="s">
        <v>469</v>
      </c>
      <c r="B10" s="41" t="s">
        <v>604</v>
      </c>
      <c r="C10" s="22">
        <v>7354</v>
      </c>
      <c r="D10" s="20">
        <v>7447</v>
      </c>
      <c r="E10" s="20">
        <v>7593</v>
      </c>
      <c r="F10" s="20">
        <v>7844</v>
      </c>
      <c r="G10" s="22">
        <v>7958</v>
      </c>
      <c r="H10" s="20">
        <v>8154</v>
      </c>
      <c r="I10" s="20">
        <v>8202</v>
      </c>
      <c r="J10" s="23">
        <v>8339</v>
      </c>
      <c r="K10" s="22">
        <v>8286</v>
      </c>
      <c r="L10" s="20">
        <v>8150</v>
      </c>
      <c r="M10" s="20">
        <v>8049</v>
      </c>
      <c r="N10" s="23">
        <v>8053</v>
      </c>
      <c r="O10" s="22">
        <v>8085</v>
      </c>
      <c r="P10" s="20">
        <v>8199</v>
      </c>
      <c r="Q10" s="20">
        <v>8284</v>
      </c>
      <c r="R10" s="23">
        <v>8224</v>
      </c>
      <c r="S10" s="22">
        <v>8274</v>
      </c>
      <c r="T10" s="20">
        <v>8257</v>
      </c>
      <c r="U10" s="20">
        <v>8166</v>
      </c>
      <c r="V10" s="23">
        <v>8211</v>
      </c>
      <c r="W10" s="22">
        <v>8260</v>
      </c>
      <c r="X10" s="20">
        <v>8290</v>
      </c>
    </row>
    <row r="11" spans="1:24" s="10" customFormat="1" x14ac:dyDescent="0.2">
      <c r="A11" s="41" t="s">
        <v>470</v>
      </c>
      <c r="B11" s="41" t="s">
        <v>605</v>
      </c>
      <c r="C11" s="22">
        <v>7129</v>
      </c>
      <c r="D11" s="20">
        <v>7224</v>
      </c>
      <c r="E11" s="20">
        <v>7372</v>
      </c>
      <c r="F11" s="20">
        <v>7625</v>
      </c>
      <c r="G11" s="22">
        <v>7791</v>
      </c>
      <c r="H11" s="20">
        <v>7988</v>
      </c>
      <c r="I11" s="20">
        <v>8038</v>
      </c>
      <c r="J11" s="23">
        <v>8188</v>
      </c>
      <c r="K11" s="22">
        <v>8141</v>
      </c>
      <c r="L11" s="20">
        <v>8019</v>
      </c>
      <c r="M11" s="20">
        <v>7923</v>
      </c>
      <c r="N11" s="23">
        <v>7919</v>
      </c>
      <c r="O11" s="22">
        <v>7952</v>
      </c>
      <c r="P11" s="20">
        <v>8066</v>
      </c>
      <c r="Q11" s="20">
        <v>8159</v>
      </c>
      <c r="R11" s="23">
        <v>8092</v>
      </c>
      <c r="S11" s="22">
        <v>8144</v>
      </c>
      <c r="T11" s="20">
        <v>8123</v>
      </c>
      <c r="U11" s="20">
        <v>8027</v>
      </c>
      <c r="V11" s="23">
        <v>8069</v>
      </c>
      <c r="W11" s="22">
        <v>8113</v>
      </c>
      <c r="X11" s="20">
        <v>8140</v>
      </c>
    </row>
    <row r="12" spans="1:24" s="8" customFormat="1" x14ac:dyDescent="0.2">
      <c r="A12" s="41"/>
      <c r="B12" s="41"/>
      <c r="C12" s="22"/>
      <c r="D12" s="20"/>
      <c r="E12" s="20"/>
      <c r="F12" s="20"/>
      <c r="G12" s="22"/>
      <c r="H12" s="20"/>
      <c r="I12" s="20"/>
      <c r="J12" s="23"/>
      <c r="K12" s="22"/>
      <c r="L12" s="20"/>
      <c r="M12" s="20"/>
      <c r="N12" s="23"/>
      <c r="O12" s="22"/>
      <c r="P12" s="20"/>
      <c r="Q12" s="20"/>
      <c r="R12" s="23"/>
      <c r="S12" s="22"/>
      <c r="T12" s="20"/>
      <c r="U12" s="20"/>
      <c r="V12" s="23"/>
      <c r="W12" s="22"/>
      <c r="X12" s="20"/>
    </row>
    <row r="13" spans="1:24" s="10" customFormat="1" x14ac:dyDescent="0.2">
      <c r="A13" s="98" t="s">
        <v>472</v>
      </c>
      <c r="B13" s="98" t="s">
        <v>225</v>
      </c>
      <c r="C13" s="22">
        <v>350</v>
      </c>
      <c r="D13" s="20">
        <v>361</v>
      </c>
      <c r="E13" s="20">
        <v>375</v>
      </c>
      <c r="F13" s="20">
        <v>404</v>
      </c>
      <c r="G13" s="22">
        <v>415</v>
      </c>
      <c r="H13" s="20">
        <v>430</v>
      </c>
      <c r="I13" s="20">
        <v>432</v>
      </c>
      <c r="J13" s="23">
        <v>439</v>
      </c>
      <c r="K13" s="22">
        <v>439</v>
      </c>
      <c r="L13" s="20">
        <v>438</v>
      </c>
      <c r="M13" s="20">
        <v>438</v>
      </c>
      <c r="N13" s="23">
        <v>441</v>
      </c>
      <c r="O13" s="22">
        <v>441</v>
      </c>
      <c r="P13" s="20">
        <v>442</v>
      </c>
      <c r="Q13" s="20">
        <v>441</v>
      </c>
      <c r="R13" s="23">
        <v>443</v>
      </c>
      <c r="S13" s="22">
        <v>445</v>
      </c>
      <c r="T13" s="20">
        <v>443</v>
      </c>
      <c r="U13" s="20">
        <v>441</v>
      </c>
      <c r="V13" s="23">
        <v>439</v>
      </c>
      <c r="W13" s="22">
        <v>438</v>
      </c>
      <c r="X13" s="20">
        <v>437</v>
      </c>
    </row>
    <row r="14" spans="1:24" s="10" customFormat="1" x14ac:dyDescent="0.2">
      <c r="A14" s="41"/>
      <c r="B14" s="41"/>
      <c r="C14" s="22"/>
      <c r="D14" s="20"/>
      <c r="E14" s="20"/>
      <c r="F14" s="20"/>
      <c r="G14" s="22"/>
      <c r="H14" s="20"/>
      <c r="I14" s="20"/>
      <c r="J14" s="23"/>
      <c r="K14" s="22"/>
      <c r="L14" s="20"/>
      <c r="M14" s="20"/>
      <c r="N14" s="23"/>
      <c r="O14" s="22"/>
      <c r="P14" s="20"/>
      <c r="Q14" s="20"/>
      <c r="R14" s="23"/>
      <c r="S14" s="22"/>
      <c r="T14" s="20"/>
      <c r="U14" s="20"/>
      <c r="V14" s="23"/>
      <c r="W14" s="22"/>
      <c r="X14" s="20"/>
    </row>
    <row r="15" spans="1:24" s="10" customFormat="1" x14ac:dyDescent="0.2">
      <c r="A15" s="98" t="s">
        <v>473</v>
      </c>
      <c r="B15" s="98" t="s">
        <v>227</v>
      </c>
      <c r="C15" s="32"/>
      <c r="D15" s="33"/>
      <c r="E15" s="33"/>
      <c r="F15" s="33"/>
      <c r="G15" s="32"/>
      <c r="H15" s="33"/>
      <c r="I15" s="33"/>
      <c r="J15" s="34"/>
      <c r="K15" s="32"/>
      <c r="L15" s="33"/>
      <c r="M15" s="33"/>
      <c r="N15" s="34"/>
      <c r="O15" s="32"/>
      <c r="P15" s="33"/>
      <c r="Q15" s="33"/>
      <c r="R15" s="34"/>
      <c r="S15" s="32"/>
      <c r="T15" s="33"/>
      <c r="U15" s="33"/>
      <c r="V15" s="34"/>
      <c r="W15" s="32"/>
      <c r="X15" s="33"/>
    </row>
    <row r="16" spans="1:24" s="10" customFormat="1" x14ac:dyDescent="0.2">
      <c r="A16" s="41" t="s">
        <v>474</v>
      </c>
      <c r="B16" s="41" t="s">
        <v>226</v>
      </c>
      <c r="C16" s="165">
        <f>SUM(C17:C19)</f>
        <v>1572</v>
      </c>
      <c r="D16" s="166">
        <f t="shared" ref="D16:X16" si="0">SUM(D17:D19)</f>
        <v>1619</v>
      </c>
      <c r="E16" s="166">
        <f t="shared" si="0"/>
        <v>1688</v>
      </c>
      <c r="F16" s="20">
        <f t="shared" si="0"/>
        <v>1777</v>
      </c>
      <c r="G16" s="22">
        <f t="shared" si="0"/>
        <v>1825</v>
      </c>
      <c r="H16" s="20">
        <f t="shared" si="0"/>
        <v>1904</v>
      </c>
      <c r="I16" s="20">
        <f t="shared" si="0"/>
        <v>1983</v>
      </c>
      <c r="J16" s="23">
        <f t="shared" si="0"/>
        <v>2003</v>
      </c>
      <c r="K16" s="22">
        <f t="shared" si="0"/>
        <v>2033</v>
      </c>
      <c r="L16" s="20">
        <f t="shared" si="0"/>
        <v>2056</v>
      </c>
      <c r="M16" s="20">
        <f t="shared" si="0"/>
        <v>2086</v>
      </c>
      <c r="N16" s="23">
        <f t="shared" si="0"/>
        <v>2082</v>
      </c>
      <c r="O16" s="22">
        <f t="shared" si="0"/>
        <v>2122</v>
      </c>
      <c r="P16" s="166">
        <f t="shared" si="0"/>
        <v>2166</v>
      </c>
      <c r="Q16" s="20">
        <f t="shared" si="0"/>
        <v>2226</v>
      </c>
      <c r="R16" s="23">
        <f t="shared" si="0"/>
        <v>2267</v>
      </c>
      <c r="S16" s="22">
        <f t="shared" si="0"/>
        <v>2300</v>
      </c>
      <c r="T16" s="20">
        <f t="shared" si="0"/>
        <v>2350</v>
      </c>
      <c r="U16" s="20">
        <f t="shared" si="0"/>
        <v>2375</v>
      </c>
      <c r="V16" s="23">
        <f t="shared" si="0"/>
        <v>2386</v>
      </c>
      <c r="W16" s="22">
        <f t="shared" si="0"/>
        <v>2405</v>
      </c>
      <c r="X16" s="20">
        <f t="shared" si="0"/>
        <v>2413</v>
      </c>
    </row>
    <row r="17" spans="1:24" s="10" customFormat="1" x14ac:dyDescent="0.2">
      <c r="A17" s="41" t="s">
        <v>475</v>
      </c>
      <c r="B17" s="41" t="s">
        <v>606</v>
      </c>
      <c r="C17" s="165">
        <v>1264</v>
      </c>
      <c r="D17" s="166">
        <v>1301</v>
      </c>
      <c r="E17" s="166">
        <v>1334</v>
      </c>
      <c r="F17" s="20">
        <v>1397</v>
      </c>
      <c r="G17" s="22">
        <v>1441</v>
      </c>
      <c r="H17" s="20">
        <v>1509</v>
      </c>
      <c r="I17" s="20">
        <v>1583</v>
      </c>
      <c r="J17" s="23">
        <v>1625</v>
      </c>
      <c r="K17" s="22">
        <v>1671</v>
      </c>
      <c r="L17" s="20">
        <v>1703</v>
      </c>
      <c r="M17" s="20">
        <v>1746</v>
      </c>
      <c r="N17" s="23">
        <v>1758</v>
      </c>
      <c r="O17" s="22">
        <v>1809</v>
      </c>
      <c r="P17" s="166">
        <v>1861</v>
      </c>
      <c r="Q17" s="20">
        <v>1934</v>
      </c>
      <c r="R17" s="23">
        <v>1987</v>
      </c>
      <c r="S17" s="22">
        <v>2020</v>
      </c>
      <c r="T17" s="20">
        <v>2075</v>
      </c>
      <c r="U17" s="20">
        <v>2102</v>
      </c>
      <c r="V17" s="23">
        <v>2116</v>
      </c>
      <c r="W17" s="22">
        <v>2132</v>
      </c>
      <c r="X17" s="166">
        <v>2144</v>
      </c>
    </row>
    <row r="18" spans="1:24" s="10" customFormat="1" x14ac:dyDescent="0.2">
      <c r="A18" s="41" t="s">
        <v>476</v>
      </c>
      <c r="B18" s="41" t="s">
        <v>607</v>
      </c>
      <c r="C18" s="165">
        <v>153</v>
      </c>
      <c r="D18" s="166">
        <v>185</v>
      </c>
      <c r="E18" s="166">
        <v>220</v>
      </c>
      <c r="F18" s="20">
        <v>261</v>
      </c>
      <c r="G18" s="22">
        <v>267</v>
      </c>
      <c r="H18" s="20">
        <v>274</v>
      </c>
      <c r="I18" s="20">
        <v>277</v>
      </c>
      <c r="J18" s="23">
        <v>278</v>
      </c>
      <c r="K18" s="22">
        <v>273</v>
      </c>
      <c r="L18" s="20">
        <v>265</v>
      </c>
      <c r="M18" s="20">
        <v>259</v>
      </c>
      <c r="N18" s="23">
        <v>254</v>
      </c>
      <c r="O18" s="22">
        <v>246</v>
      </c>
      <c r="P18" s="166">
        <v>248</v>
      </c>
      <c r="Q18" s="20">
        <v>237</v>
      </c>
      <c r="R18" s="23">
        <v>231</v>
      </c>
      <c r="S18" s="22">
        <v>226</v>
      </c>
      <c r="T18" s="20">
        <v>221</v>
      </c>
      <c r="U18" s="20">
        <v>216</v>
      </c>
      <c r="V18" s="23">
        <v>211</v>
      </c>
      <c r="W18" s="22">
        <v>211</v>
      </c>
      <c r="X18" s="166">
        <v>205</v>
      </c>
    </row>
    <row r="19" spans="1:24" s="10" customFormat="1" x14ac:dyDescent="0.2">
      <c r="A19" s="41" t="s">
        <v>477</v>
      </c>
      <c r="B19" s="41" t="s">
        <v>608</v>
      </c>
      <c r="C19" s="165">
        <v>155</v>
      </c>
      <c r="D19" s="166">
        <v>133</v>
      </c>
      <c r="E19" s="166">
        <v>134</v>
      </c>
      <c r="F19" s="20">
        <v>119</v>
      </c>
      <c r="G19" s="22">
        <v>117</v>
      </c>
      <c r="H19" s="20">
        <v>121</v>
      </c>
      <c r="I19" s="20">
        <v>123</v>
      </c>
      <c r="J19" s="23">
        <v>100</v>
      </c>
      <c r="K19" s="22">
        <v>89</v>
      </c>
      <c r="L19" s="20">
        <v>88</v>
      </c>
      <c r="M19" s="20">
        <v>81</v>
      </c>
      <c r="N19" s="23">
        <v>70</v>
      </c>
      <c r="O19" s="22">
        <v>67</v>
      </c>
      <c r="P19" s="166">
        <v>57</v>
      </c>
      <c r="Q19" s="20">
        <v>55</v>
      </c>
      <c r="R19" s="23">
        <v>49</v>
      </c>
      <c r="S19" s="22">
        <v>54</v>
      </c>
      <c r="T19" s="20">
        <v>54</v>
      </c>
      <c r="U19" s="20">
        <v>57</v>
      </c>
      <c r="V19" s="23">
        <v>59</v>
      </c>
      <c r="W19" s="22">
        <v>62</v>
      </c>
      <c r="X19" s="166">
        <v>64</v>
      </c>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62" orientation="landscape" r:id="rId1"/>
  <headerFooter alignWithMargins="0">
    <oddHeader xml:space="preserve">&amp;C&amp;"Times New Roman,Kursywa"&amp;12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1"/>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activeCell="A7" sqref="A7"/>
    </sheetView>
  </sheetViews>
  <sheetFormatPr defaultColWidth="8.85546875" defaultRowHeight="12.75" outlineLevelCol="1" x14ac:dyDescent="0.2"/>
  <cols>
    <col min="1" max="1" customWidth="true" style="1" width="59.140625" collapsed="true"/>
    <col min="2" max="2" customWidth="true" hidden="true" style="1" width="59.140625" collapsed="true" outlineLevel="1"/>
    <col min="3" max="3" bestFit="true" customWidth="true" style="3" width="4.85546875" collapsed="true"/>
    <col min="4" max="9" bestFit="true" customWidth="true" style="3" width="4.85546875" collapsed="true"/>
    <col min="10" max="10" bestFit="true" customWidth="true" style="3" width="5.42578125" collapsed="true"/>
    <col min="11" max="24" bestFit="true" customWidth="true" style="3" width="4.85546875" collapsed="true"/>
    <col min="25" max="16384" style="3" width="8.85546875" collapsed="true"/>
  </cols>
  <sheetData>
    <row r="2" spans="1:27" x14ac:dyDescent="0.2">
      <c r="A2" s="385" t="s">
        <v>257</v>
      </c>
      <c r="B2" s="385" t="s">
        <v>14</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7" s="4" customFormat="1" ht="25.5" customHeigh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7" s="4" customFormat="1" ht="12.75" customHeight="1" x14ac:dyDescent="0.2">
      <c r="A4" s="21" t="s">
        <v>258</v>
      </c>
      <c r="B4" s="21" t="s">
        <v>15</v>
      </c>
      <c r="C4" s="17"/>
      <c r="D4" s="6"/>
      <c r="E4" s="6"/>
      <c r="F4" s="6"/>
      <c r="G4" s="17"/>
      <c r="H4" s="6"/>
      <c r="I4" s="6"/>
      <c r="J4" s="19"/>
      <c r="K4" s="17"/>
      <c r="L4" s="6"/>
      <c r="M4" s="6"/>
      <c r="N4" s="19"/>
      <c r="O4" s="17"/>
      <c r="P4" s="6"/>
      <c r="Q4" s="6"/>
      <c r="R4" s="19"/>
      <c r="S4" s="17"/>
      <c r="T4" s="6"/>
      <c r="U4" s="6"/>
      <c r="V4" s="19"/>
      <c r="W4" s="6"/>
      <c r="X4" s="6"/>
    </row>
    <row r="5" spans="1:27" s="8" customFormat="1" x14ac:dyDescent="0.2">
      <c r="A5" s="41" t="s">
        <v>259</v>
      </c>
      <c r="B5" s="41" t="s">
        <v>0</v>
      </c>
      <c r="C5" s="42">
        <v>556</v>
      </c>
      <c r="D5" s="43">
        <v>586.00000000000011</v>
      </c>
      <c r="E5" s="43">
        <v>618.29999999999995</v>
      </c>
      <c r="F5" s="43">
        <v>673.3</v>
      </c>
      <c r="G5" s="42">
        <v>750.5</v>
      </c>
      <c r="H5" s="43">
        <v>855.3</v>
      </c>
      <c r="I5" s="43">
        <v>910.1</v>
      </c>
      <c r="J5" s="44">
        <v>982.8</v>
      </c>
      <c r="K5" s="76">
        <v>860.8</v>
      </c>
      <c r="L5" s="43">
        <v>773.3</v>
      </c>
      <c r="M5" s="43">
        <v>732.1</v>
      </c>
      <c r="N5" s="44">
        <v>711.5</v>
      </c>
      <c r="O5" s="42">
        <v>726.8</v>
      </c>
      <c r="P5" s="43">
        <v>723.1</v>
      </c>
      <c r="Q5" s="43">
        <v>747.3</v>
      </c>
      <c r="R5" s="44">
        <v>751.5</v>
      </c>
      <c r="S5" s="42">
        <v>772.6</v>
      </c>
      <c r="T5" s="43">
        <v>833.6</v>
      </c>
      <c r="U5" s="43">
        <v>882.3</v>
      </c>
      <c r="V5" s="44">
        <v>897</v>
      </c>
      <c r="W5" s="43">
        <v>945.2</v>
      </c>
      <c r="X5" s="43">
        <v>945.2</v>
      </c>
      <c r="Y5" s="96"/>
      <c r="Z5" s="96"/>
      <c r="AA5" s="96"/>
    </row>
    <row r="6" spans="1:27" s="8" customFormat="1" x14ac:dyDescent="0.2">
      <c r="A6" s="97" t="s">
        <v>260</v>
      </c>
      <c r="B6" s="97" t="s">
        <v>1</v>
      </c>
      <c r="C6" s="42">
        <f>320.1-0.2</f>
        <v>319.90000000000003</v>
      </c>
      <c r="D6" s="43">
        <v>339.1</v>
      </c>
      <c r="E6" s="43">
        <v>363.7</v>
      </c>
      <c r="F6" s="43">
        <v>410.09999999999997</v>
      </c>
      <c r="G6" s="42">
        <v>467.1</v>
      </c>
      <c r="H6" s="43">
        <v>539.5</v>
      </c>
      <c r="I6" s="43">
        <v>589.20000000000005</v>
      </c>
      <c r="J6" s="44">
        <v>650.29999999999995</v>
      </c>
      <c r="K6" s="42">
        <v>549.70000000000005</v>
      </c>
      <c r="L6" s="43">
        <v>414.3</v>
      </c>
      <c r="M6" s="43">
        <v>354.1</v>
      </c>
      <c r="N6" s="44">
        <v>357.1</v>
      </c>
      <c r="O6" s="42">
        <v>336.4</v>
      </c>
      <c r="P6" s="43">
        <v>317.8</v>
      </c>
      <c r="Q6" s="43">
        <v>337.1</v>
      </c>
      <c r="R6" s="44">
        <v>329.8</v>
      </c>
      <c r="S6" s="42">
        <v>337.7</v>
      </c>
      <c r="T6" s="43">
        <v>374.1</v>
      </c>
      <c r="U6" s="43">
        <v>404.9</v>
      </c>
      <c r="V6" s="44">
        <v>417.3</v>
      </c>
      <c r="W6" s="43">
        <v>431.7</v>
      </c>
      <c r="X6" s="43">
        <v>431.1</v>
      </c>
      <c r="Y6" s="96"/>
      <c r="Z6" s="96"/>
      <c r="AA6" s="96"/>
    </row>
    <row r="7" spans="1:27" s="10" customFormat="1" x14ac:dyDescent="0.2">
      <c r="A7" s="98" t="s">
        <v>261</v>
      </c>
      <c r="B7" s="98" t="s">
        <v>2</v>
      </c>
      <c r="C7" s="49">
        <f>C5-C6</f>
        <v>236.09999999999997</v>
      </c>
      <c r="D7" s="50">
        <f t="shared" ref="D7:X7" si="0">D5-D6</f>
        <v>246.90000000000009</v>
      </c>
      <c r="E7" s="50">
        <f t="shared" si="0"/>
        <v>254.59999999999997</v>
      </c>
      <c r="F7" s="50">
        <f t="shared" si="0"/>
        <v>263.2</v>
      </c>
      <c r="G7" s="49">
        <f t="shared" si="0"/>
        <v>283.39999999999998</v>
      </c>
      <c r="H7" s="50">
        <f t="shared" si="0"/>
        <v>315.79999999999995</v>
      </c>
      <c r="I7" s="50">
        <f t="shared" si="0"/>
        <v>320.89999999999998</v>
      </c>
      <c r="J7" s="51">
        <f t="shared" si="0"/>
        <v>332.5</v>
      </c>
      <c r="K7" s="49">
        <f t="shared" si="0"/>
        <v>311.09999999999991</v>
      </c>
      <c r="L7" s="50">
        <f t="shared" si="0"/>
        <v>358.99999999999994</v>
      </c>
      <c r="M7" s="50">
        <f t="shared" si="0"/>
        <v>378</v>
      </c>
      <c r="N7" s="51">
        <f t="shared" si="0"/>
        <v>354.4</v>
      </c>
      <c r="O7" s="49">
        <f t="shared" si="0"/>
        <v>390.4</v>
      </c>
      <c r="P7" s="50">
        <f t="shared" si="0"/>
        <v>405.3</v>
      </c>
      <c r="Q7" s="50">
        <f t="shared" si="0"/>
        <v>410.19999999999993</v>
      </c>
      <c r="R7" s="51">
        <f t="shared" si="0"/>
        <v>421.7</v>
      </c>
      <c r="S7" s="49">
        <f t="shared" si="0"/>
        <v>434.90000000000003</v>
      </c>
      <c r="T7" s="50">
        <f t="shared" si="0"/>
        <v>459.5</v>
      </c>
      <c r="U7" s="50">
        <f t="shared" si="0"/>
        <v>477.4</v>
      </c>
      <c r="V7" s="51">
        <f t="shared" si="0"/>
        <v>479.7</v>
      </c>
      <c r="W7" s="50">
        <f t="shared" si="0"/>
        <v>513.5</v>
      </c>
      <c r="X7" s="50">
        <f t="shared" si="0"/>
        <v>514.1</v>
      </c>
      <c r="Y7" s="96"/>
      <c r="Z7" s="96"/>
      <c r="AA7" s="96"/>
    </row>
    <row r="8" spans="1:27" s="8" customFormat="1" x14ac:dyDescent="0.2">
      <c r="A8" s="41" t="s">
        <v>262</v>
      </c>
      <c r="B8" s="41" t="s">
        <v>3</v>
      </c>
      <c r="C8" s="42">
        <v>239</v>
      </c>
      <c r="D8" s="43">
        <v>248.50000000000003</v>
      </c>
      <c r="E8" s="43">
        <f>251.9-0.1</f>
        <v>251.8</v>
      </c>
      <c r="F8" s="43">
        <v>241.49999999999997</v>
      </c>
      <c r="G8" s="42">
        <v>228.79999999999998</v>
      </c>
      <c r="H8" s="43">
        <v>235.70000000000002</v>
      </c>
      <c r="I8" s="43">
        <v>244.7</v>
      </c>
      <c r="J8" s="44">
        <v>268.5</v>
      </c>
      <c r="K8" s="42">
        <v>256.10000000000002</v>
      </c>
      <c r="L8" s="43">
        <v>275.3</v>
      </c>
      <c r="M8" s="43">
        <v>278</v>
      </c>
      <c r="N8" s="44">
        <v>275.7</v>
      </c>
      <c r="O8" s="42">
        <v>264.10000000000002</v>
      </c>
      <c r="P8" s="43">
        <v>277.60000000000002</v>
      </c>
      <c r="Q8" s="43">
        <v>287.2</v>
      </c>
      <c r="R8" s="44">
        <v>288.2</v>
      </c>
      <c r="S8" s="42">
        <v>285.89999999999998</v>
      </c>
      <c r="T8" s="43">
        <v>295.7</v>
      </c>
      <c r="U8" s="43">
        <v>297.7</v>
      </c>
      <c r="V8" s="44">
        <v>290.8</v>
      </c>
      <c r="W8" s="43">
        <v>280.7</v>
      </c>
      <c r="X8" s="43">
        <v>285.39999999999998</v>
      </c>
      <c r="Y8" s="96"/>
      <c r="Z8" s="96"/>
      <c r="AA8" s="96"/>
    </row>
    <row r="9" spans="1:27" s="8" customFormat="1" x14ac:dyDescent="0.2">
      <c r="A9" s="41" t="s">
        <v>263</v>
      </c>
      <c r="B9" s="41" t="s">
        <v>4</v>
      </c>
      <c r="C9" s="42">
        <v>16.7</v>
      </c>
      <c r="D9" s="43">
        <v>15.2</v>
      </c>
      <c r="E9" s="43">
        <v>21.1</v>
      </c>
      <c r="F9" s="43">
        <v>29</v>
      </c>
      <c r="G9" s="42">
        <v>22.1</v>
      </c>
      <c r="H9" s="43">
        <v>19.899999999999999</v>
      </c>
      <c r="I9" s="43">
        <v>16.399999999999999</v>
      </c>
      <c r="J9" s="44">
        <v>29.6</v>
      </c>
      <c r="K9" s="42">
        <v>22.1</v>
      </c>
      <c r="L9" s="43">
        <v>25.4</v>
      </c>
      <c r="M9" s="50">
        <v>25</v>
      </c>
      <c r="N9" s="44">
        <v>48.2</v>
      </c>
      <c r="O9" s="42">
        <v>35.6</v>
      </c>
      <c r="P9" s="43">
        <v>30.7</v>
      </c>
      <c r="Q9" s="43">
        <v>31.6</v>
      </c>
      <c r="R9" s="44">
        <v>31.9</v>
      </c>
      <c r="S9" s="42">
        <v>34.5</v>
      </c>
      <c r="T9" s="43">
        <v>37.299999999999997</v>
      </c>
      <c r="U9" s="43">
        <v>36.299999999999997</v>
      </c>
      <c r="V9" s="44">
        <v>40.799999999999997</v>
      </c>
      <c r="W9" s="43">
        <v>33.700000000000003</v>
      </c>
      <c r="X9" s="43">
        <v>35</v>
      </c>
      <c r="Y9" s="96"/>
      <c r="Z9" s="96"/>
      <c r="AA9" s="96"/>
    </row>
    <row r="10" spans="1:27" s="4" customFormat="1" x14ac:dyDescent="0.2">
      <c r="A10" s="98" t="s">
        <v>264</v>
      </c>
      <c r="B10" s="98" t="s">
        <v>5</v>
      </c>
      <c r="C10" s="49">
        <f>C8-C9</f>
        <v>222.3</v>
      </c>
      <c r="D10" s="50">
        <f t="shared" ref="D10:X10" si="1">D8-D9</f>
        <v>233.30000000000004</v>
      </c>
      <c r="E10" s="50">
        <f t="shared" si="1"/>
        <v>230.70000000000002</v>
      </c>
      <c r="F10" s="50">
        <f t="shared" si="1"/>
        <v>212.49999999999997</v>
      </c>
      <c r="G10" s="49">
        <f t="shared" si="1"/>
        <v>206.7</v>
      </c>
      <c r="H10" s="50">
        <f t="shared" si="1"/>
        <v>215.8</v>
      </c>
      <c r="I10" s="50">
        <f t="shared" si="1"/>
        <v>228.29999999999998</v>
      </c>
      <c r="J10" s="51">
        <f t="shared" si="1"/>
        <v>238.9</v>
      </c>
      <c r="K10" s="49">
        <f t="shared" si="1"/>
        <v>234.00000000000003</v>
      </c>
      <c r="L10" s="50">
        <f t="shared" si="1"/>
        <v>249.9</v>
      </c>
      <c r="M10" s="50">
        <f t="shared" si="1"/>
        <v>253</v>
      </c>
      <c r="N10" s="51">
        <f t="shared" si="1"/>
        <v>227.5</v>
      </c>
      <c r="O10" s="49">
        <f t="shared" si="1"/>
        <v>228.50000000000003</v>
      </c>
      <c r="P10" s="50">
        <f t="shared" si="1"/>
        <v>246.90000000000003</v>
      </c>
      <c r="Q10" s="50">
        <f t="shared" si="1"/>
        <v>255.6</v>
      </c>
      <c r="R10" s="51">
        <f t="shared" si="1"/>
        <v>256.3</v>
      </c>
      <c r="S10" s="49">
        <f t="shared" si="1"/>
        <v>251.39999999999998</v>
      </c>
      <c r="T10" s="50">
        <f t="shared" si="1"/>
        <v>258.39999999999998</v>
      </c>
      <c r="U10" s="50">
        <f t="shared" si="1"/>
        <v>261.39999999999998</v>
      </c>
      <c r="V10" s="51">
        <f t="shared" si="1"/>
        <v>250</v>
      </c>
      <c r="W10" s="50">
        <f t="shared" si="1"/>
        <v>247</v>
      </c>
      <c r="X10" s="50">
        <f t="shared" si="1"/>
        <v>250.39999999999998</v>
      </c>
      <c r="Y10" s="96"/>
      <c r="Z10" s="96"/>
      <c r="AA10" s="96"/>
    </row>
    <row r="11" spans="1:27" s="10" customFormat="1" ht="22.5" x14ac:dyDescent="0.2">
      <c r="A11" s="99" t="s">
        <v>509</v>
      </c>
      <c r="B11" s="99" t="s">
        <v>563</v>
      </c>
      <c r="C11" s="42">
        <v>37.799999999999997</v>
      </c>
      <c r="D11" s="43">
        <v>17.400000000000006</v>
      </c>
      <c r="E11" s="77">
        <v>36.299999999999997</v>
      </c>
      <c r="F11" s="43">
        <v>-8.4999999999999716</v>
      </c>
      <c r="G11" s="42">
        <v>72.5</v>
      </c>
      <c r="H11" s="43">
        <v>64.8</v>
      </c>
      <c r="I11" s="43">
        <v>53.4</v>
      </c>
      <c r="J11" s="44">
        <v>-307.89999999999998</v>
      </c>
      <c r="K11" s="42">
        <v>-24</v>
      </c>
      <c r="L11" s="43">
        <v>43.6</v>
      </c>
      <c r="M11" s="43">
        <v>58.8</v>
      </c>
      <c r="N11" s="44">
        <v>19.5</v>
      </c>
      <c r="O11" s="42">
        <v>28.5</v>
      </c>
      <c r="P11" s="43">
        <v>22.8</v>
      </c>
      <c r="Q11" s="43">
        <v>24.4</v>
      </c>
      <c r="R11" s="44">
        <v>1.8</v>
      </c>
      <c r="S11" s="42">
        <v>26.8</v>
      </c>
      <c r="T11" s="43">
        <f>11.5-0.1</f>
        <v>11.4</v>
      </c>
      <c r="U11" s="43">
        <v>-8.1</v>
      </c>
      <c r="V11" s="44">
        <v>-11.8</v>
      </c>
      <c r="W11" s="43">
        <v>53.7</v>
      </c>
      <c r="X11" s="43">
        <v>12.3</v>
      </c>
      <c r="Y11" s="96"/>
      <c r="Z11" s="96"/>
      <c r="AA11" s="96"/>
    </row>
    <row r="12" spans="1:27" s="10" customFormat="1" x14ac:dyDescent="0.2">
      <c r="A12" s="97" t="s">
        <v>365</v>
      </c>
      <c r="B12" s="97" t="s">
        <v>564</v>
      </c>
      <c r="C12" s="42">
        <v>16.899999999999999</v>
      </c>
      <c r="D12" s="43">
        <v>6.1</v>
      </c>
      <c r="E12" s="43">
        <v>1.9</v>
      </c>
      <c r="F12" s="43">
        <v>0.1</v>
      </c>
      <c r="G12" s="42">
        <v>0.1</v>
      </c>
      <c r="H12" s="43">
        <v>24.1</v>
      </c>
      <c r="I12" s="43">
        <v>-0.3</v>
      </c>
      <c r="J12" s="44">
        <v>6.9</v>
      </c>
      <c r="K12" s="42">
        <v>0.3</v>
      </c>
      <c r="L12" s="43">
        <v>8.3000000000000007</v>
      </c>
      <c r="M12" s="43">
        <v>5.4</v>
      </c>
      <c r="N12" s="44">
        <v>-10.7</v>
      </c>
      <c r="O12" s="42">
        <v>4</v>
      </c>
      <c r="P12" s="43">
        <v>3</v>
      </c>
      <c r="Q12" s="43">
        <v>0.8</v>
      </c>
      <c r="R12" s="44">
        <v>-5.6</v>
      </c>
      <c r="S12" s="42">
        <v>18.2</v>
      </c>
      <c r="T12" s="43">
        <v>6.2</v>
      </c>
      <c r="U12" s="43">
        <v>7.7</v>
      </c>
      <c r="V12" s="44">
        <v>5.9</v>
      </c>
      <c r="W12" s="43">
        <v>19.100000000000001</v>
      </c>
      <c r="X12" s="43">
        <v>6.6</v>
      </c>
      <c r="Y12" s="96"/>
      <c r="Z12" s="96"/>
      <c r="AA12" s="96"/>
    </row>
    <row r="13" spans="1:27" s="10" customFormat="1" x14ac:dyDescent="0.2">
      <c r="A13" s="99" t="s">
        <v>371</v>
      </c>
      <c r="B13" s="99" t="s">
        <v>565</v>
      </c>
      <c r="C13" s="42">
        <v>0</v>
      </c>
      <c r="D13" s="43">
        <v>-0.19999999999999996</v>
      </c>
      <c r="E13" s="43">
        <v>1.6</v>
      </c>
      <c r="F13" s="43">
        <v>-0.59999999999999964</v>
      </c>
      <c r="G13" s="42">
        <v>0.7</v>
      </c>
      <c r="H13" s="43">
        <v>-0.7</v>
      </c>
      <c r="I13" s="43">
        <v>2.7</v>
      </c>
      <c r="J13" s="44">
        <v>1.9</v>
      </c>
      <c r="K13" s="42">
        <v>17.899999999999999</v>
      </c>
      <c r="L13" s="43">
        <v>6</v>
      </c>
      <c r="M13" s="43">
        <v>-6.7</v>
      </c>
      <c r="N13" s="44">
        <v>2.9</v>
      </c>
      <c r="O13" s="42">
        <v>-6.9</v>
      </c>
      <c r="P13" s="43">
        <v>-15.3</v>
      </c>
      <c r="Q13" s="43">
        <v>-7.9</v>
      </c>
      <c r="R13" s="44">
        <v>18</v>
      </c>
      <c r="S13" s="42">
        <v>-16.3</v>
      </c>
      <c r="T13" s="43">
        <v>-3.2</v>
      </c>
      <c r="U13" s="43">
        <f>-23.6</f>
        <v>-23.6</v>
      </c>
      <c r="V13" s="44">
        <f>9.7</f>
        <v>9.6999999999999993</v>
      </c>
      <c r="W13" s="43">
        <v>1.7</v>
      </c>
      <c r="X13" s="43">
        <v>-5.2</v>
      </c>
      <c r="Y13" s="96"/>
      <c r="Z13" s="96"/>
      <c r="AA13" s="96"/>
    </row>
    <row r="14" spans="1:27" s="8" customFormat="1" x14ac:dyDescent="0.2">
      <c r="A14" s="97" t="s">
        <v>508</v>
      </c>
      <c r="B14" s="97" t="s">
        <v>566</v>
      </c>
      <c r="C14" s="42">
        <v>12.7</v>
      </c>
      <c r="D14" s="43">
        <v>6.8</v>
      </c>
      <c r="E14" s="43">
        <v>6.6</v>
      </c>
      <c r="F14" s="43">
        <v>-5.2</v>
      </c>
      <c r="G14" s="42">
        <v>6.5</v>
      </c>
      <c r="H14" s="43">
        <v>-9.5</v>
      </c>
      <c r="I14" s="43">
        <v>1</v>
      </c>
      <c r="J14" s="44">
        <v>21</v>
      </c>
      <c r="K14" s="76">
        <v>7.9</v>
      </c>
      <c r="L14" s="43">
        <v>2.7</v>
      </c>
      <c r="M14" s="43">
        <v>5.4</v>
      </c>
      <c r="N14" s="44">
        <v>-24.1</v>
      </c>
      <c r="O14" s="42">
        <v>6.3</v>
      </c>
      <c r="P14" s="43">
        <v>5</v>
      </c>
      <c r="Q14" s="43">
        <v>6.5</v>
      </c>
      <c r="R14" s="44">
        <v>-9.9</v>
      </c>
      <c r="S14" s="42">
        <v>7.8</v>
      </c>
      <c r="T14" s="43">
        <v>4.9000000000000004</v>
      </c>
      <c r="U14" s="43">
        <v>2.7</v>
      </c>
      <c r="V14" s="44">
        <v>1.4</v>
      </c>
      <c r="W14" s="43">
        <v>4</v>
      </c>
      <c r="X14" s="43">
        <v>3.1</v>
      </c>
      <c r="Y14" s="96"/>
      <c r="Z14" s="96"/>
      <c r="AA14" s="96"/>
    </row>
    <row r="15" spans="1:27" s="10" customFormat="1" x14ac:dyDescent="0.2">
      <c r="A15" s="98" t="s">
        <v>265</v>
      </c>
      <c r="B15" s="98" t="s">
        <v>6</v>
      </c>
      <c r="C15" s="49">
        <f>C7+C10+C11+C12+C13+C14</f>
        <v>525.80000000000007</v>
      </c>
      <c r="D15" s="50">
        <f t="shared" ref="D15:X15" si="2">D7+D10+D11+D12+D13+D14</f>
        <v>510.30000000000018</v>
      </c>
      <c r="E15" s="50">
        <f t="shared" si="2"/>
        <v>531.69999999999993</v>
      </c>
      <c r="F15" s="50">
        <f t="shared" si="2"/>
        <v>461.49999999999994</v>
      </c>
      <c r="G15" s="49">
        <f t="shared" si="2"/>
        <v>569.9</v>
      </c>
      <c r="H15" s="50">
        <f t="shared" si="2"/>
        <v>610.29999999999984</v>
      </c>
      <c r="I15" s="50">
        <f t="shared" si="2"/>
        <v>606</v>
      </c>
      <c r="J15" s="51">
        <f t="shared" si="2"/>
        <v>293.29999999999995</v>
      </c>
      <c r="K15" s="49">
        <f t="shared" si="2"/>
        <v>547.19999999999982</v>
      </c>
      <c r="L15" s="50">
        <f t="shared" si="2"/>
        <v>669.5</v>
      </c>
      <c r="M15" s="50">
        <f t="shared" si="2"/>
        <v>693.89999999999986</v>
      </c>
      <c r="N15" s="51">
        <f t="shared" si="2"/>
        <v>569.49999999999989</v>
      </c>
      <c r="O15" s="49">
        <f t="shared" si="2"/>
        <v>650.79999999999995</v>
      </c>
      <c r="P15" s="50">
        <f t="shared" si="2"/>
        <v>667.7</v>
      </c>
      <c r="Q15" s="50">
        <f t="shared" si="2"/>
        <v>689.59999999999991</v>
      </c>
      <c r="R15" s="51">
        <f t="shared" si="2"/>
        <v>682.3</v>
      </c>
      <c r="S15" s="49">
        <f t="shared" si="2"/>
        <v>722.8</v>
      </c>
      <c r="T15" s="50">
        <f t="shared" si="2"/>
        <v>737.19999999999993</v>
      </c>
      <c r="U15" s="50">
        <f t="shared" si="2"/>
        <v>717.5</v>
      </c>
      <c r="V15" s="51">
        <f t="shared" si="2"/>
        <v>734.90000000000009</v>
      </c>
      <c r="W15" s="50">
        <f t="shared" si="2"/>
        <v>839.00000000000011</v>
      </c>
      <c r="X15" s="50">
        <f t="shared" si="2"/>
        <v>781.3</v>
      </c>
      <c r="Y15" s="96"/>
      <c r="Z15" s="96"/>
      <c r="AA15" s="96"/>
    </row>
    <row r="16" spans="1:27" s="10" customFormat="1" x14ac:dyDescent="0.2">
      <c r="A16" s="97" t="s">
        <v>266</v>
      </c>
      <c r="B16" s="97" t="s">
        <v>567</v>
      </c>
      <c r="C16" s="42">
        <f>SUM(C17:C19)</f>
        <v>334.4</v>
      </c>
      <c r="D16" s="43">
        <f t="shared" ref="D16:X16" si="3">SUM(D17:D19)</f>
        <v>342.29999999999995</v>
      </c>
      <c r="E16" s="43">
        <f t="shared" si="3"/>
        <v>354.9</v>
      </c>
      <c r="F16" s="43">
        <f t="shared" si="3"/>
        <v>349</v>
      </c>
      <c r="G16" s="42">
        <f t="shared" si="3"/>
        <v>364.4</v>
      </c>
      <c r="H16" s="43">
        <f t="shared" si="3"/>
        <v>385.29999999999995</v>
      </c>
      <c r="I16" s="43">
        <f t="shared" si="3"/>
        <v>402.7</v>
      </c>
      <c r="J16" s="44">
        <f t="shared" si="3"/>
        <v>354.5</v>
      </c>
      <c r="K16" s="42">
        <f t="shared" si="3"/>
        <v>361.7</v>
      </c>
      <c r="L16" s="43">
        <f t="shared" si="3"/>
        <v>383.8</v>
      </c>
      <c r="M16" s="43">
        <f t="shared" si="3"/>
        <v>393</v>
      </c>
      <c r="N16" s="44">
        <f t="shared" si="3"/>
        <v>349.3</v>
      </c>
      <c r="O16" s="42">
        <f t="shared" si="3"/>
        <v>394</v>
      </c>
      <c r="P16" s="43">
        <f t="shared" si="3"/>
        <v>403.5</v>
      </c>
      <c r="Q16" s="43">
        <f t="shared" si="3"/>
        <v>395.4</v>
      </c>
      <c r="R16" s="44">
        <f t="shared" si="3"/>
        <v>390</v>
      </c>
      <c r="S16" s="42">
        <f t="shared" si="3"/>
        <v>408.70000000000005</v>
      </c>
      <c r="T16" s="43">
        <f t="shared" si="3"/>
        <v>419.8</v>
      </c>
      <c r="U16" s="43">
        <f t="shared" si="3"/>
        <v>421.9</v>
      </c>
      <c r="V16" s="44">
        <f t="shared" si="3"/>
        <v>414</v>
      </c>
      <c r="W16" s="43">
        <f t="shared" si="3"/>
        <v>464.90000000000003</v>
      </c>
      <c r="X16" s="43">
        <f t="shared" si="3"/>
        <v>456.3</v>
      </c>
      <c r="Y16" s="96"/>
      <c r="Z16" s="96"/>
      <c r="AA16" s="96"/>
    </row>
    <row r="17" spans="1:27" s="10" customFormat="1" x14ac:dyDescent="0.2">
      <c r="A17" s="99" t="s">
        <v>267</v>
      </c>
      <c r="B17" s="99" t="s">
        <v>58</v>
      </c>
      <c r="C17" s="42">
        <v>154.6</v>
      </c>
      <c r="D17" s="43">
        <v>168.2</v>
      </c>
      <c r="E17" s="43">
        <v>174.5</v>
      </c>
      <c r="F17" s="43">
        <v>194.3</v>
      </c>
      <c r="G17" s="42">
        <v>180.1</v>
      </c>
      <c r="H17" s="43">
        <v>182.2</v>
      </c>
      <c r="I17" s="43">
        <v>208.5</v>
      </c>
      <c r="J17" s="44">
        <v>200.7</v>
      </c>
      <c r="K17" s="42">
        <v>153</v>
      </c>
      <c r="L17" s="43">
        <v>180.9</v>
      </c>
      <c r="M17" s="43">
        <v>178.7</v>
      </c>
      <c r="N17" s="44">
        <f>200.3+4.2</f>
        <v>204.5</v>
      </c>
      <c r="O17" s="42">
        <v>178.6</v>
      </c>
      <c r="P17" s="43">
        <v>185.4</v>
      </c>
      <c r="Q17" s="43">
        <v>198.7</v>
      </c>
      <c r="R17" s="44">
        <v>248.4</v>
      </c>
      <c r="S17" s="42">
        <v>199.3</v>
      </c>
      <c r="T17" s="43">
        <v>208.9</v>
      </c>
      <c r="U17" s="43">
        <v>210.8</v>
      </c>
      <c r="V17" s="44">
        <v>214.3</v>
      </c>
      <c r="W17" s="43">
        <v>228</v>
      </c>
      <c r="X17" s="43">
        <v>213.1</v>
      </c>
      <c r="Y17" s="96"/>
      <c r="Z17" s="96"/>
      <c r="AA17" s="96"/>
    </row>
    <row r="18" spans="1:27" s="10" customFormat="1" x14ac:dyDescent="0.2">
      <c r="A18" s="99" t="s">
        <v>268</v>
      </c>
      <c r="B18" s="99" t="s">
        <v>59</v>
      </c>
      <c r="C18" s="42">
        <v>34.6</v>
      </c>
      <c r="D18" s="43">
        <v>36.200000000000003</v>
      </c>
      <c r="E18" s="43">
        <v>35</v>
      </c>
      <c r="F18" s="43">
        <v>49</v>
      </c>
      <c r="G18" s="42">
        <v>33.299999999999997</v>
      </c>
      <c r="H18" s="43">
        <v>33.6</v>
      </c>
      <c r="I18" s="43">
        <v>34.199999999999989</v>
      </c>
      <c r="J18" s="44">
        <v>32.700000000000003</v>
      </c>
      <c r="K18" s="42">
        <v>31</v>
      </c>
      <c r="L18" s="43">
        <v>32</v>
      </c>
      <c r="M18" s="43">
        <v>29.5</v>
      </c>
      <c r="N18" s="44">
        <v>31.4</v>
      </c>
      <c r="O18" s="42">
        <v>29.1</v>
      </c>
      <c r="P18" s="43">
        <v>29.5</v>
      </c>
      <c r="Q18" s="43">
        <v>30.1</v>
      </c>
      <c r="R18" s="44">
        <v>32.299999999999997</v>
      </c>
      <c r="S18" s="42">
        <v>30.5</v>
      </c>
      <c r="T18" s="43">
        <v>31.9</v>
      </c>
      <c r="U18" s="43">
        <v>34</v>
      </c>
      <c r="V18" s="44">
        <v>36.200000000000003</v>
      </c>
      <c r="W18" s="43">
        <v>33.6</v>
      </c>
      <c r="X18" s="43">
        <v>34.700000000000003</v>
      </c>
      <c r="Y18" s="96"/>
      <c r="Z18" s="96"/>
      <c r="AA18" s="96"/>
    </row>
    <row r="19" spans="1:27" s="10" customFormat="1" x14ac:dyDescent="0.2">
      <c r="A19" s="99" t="s">
        <v>269</v>
      </c>
      <c r="B19" s="99" t="s">
        <v>60</v>
      </c>
      <c r="C19" s="42">
        <v>145.19999999999999</v>
      </c>
      <c r="D19" s="43">
        <v>137.9</v>
      </c>
      <c r="E19" s="43">
        <v>145.4</v>
      </c>
      <c r="F19" s="43">
        <v>105.7</v>
      </c>
      <c r="G19" s="42">
        <v>151</v>
      </c>
      <c r="H19" s="43">
        <v>169.5</v>
      </c>
      <c r="I19" s="43">
        <v>160</v>
      </c>
      <c r="J19" s="44">
        <v>121.1</v>
      </c>
      <c r="K19" s="42">
        <v>177.7</v>
      </c>
      <c r="L19" s="43">
        <v>170.9</v>
      </c>
      <c r="M19" s="43">
        <v>184.8</v>
      </c>
      <c r="N19" s="44">
        <f>117.6-4.2</f>
        <v>113.39999999999999</v>
      </c>
      <c r="O19" s="42">
        <v>186.3</v>
      </c>
      <c r="P19" s="77">
        <v>188.6</v>
      </c>
      <c r="Q19" s="43">
        <v>166.6</v>
      </c>
      <c r="R19" s="44">
        <v>109.3</v>
      </c>
      <c r="S19" s="42">
        <v>178.9</v>
      </c>
      <c r="T19" s="43">
        <v>179</v>
      </c>
      <c r="U19" s="43">
        <v>177.1</v>
      </c>
      <c r="V19" s="44">
        <v>163.5</v>
      </c>
      <c r="W19" s="43">
        <v>203.3</v>
      </c>
      <c r="X19" s="43">
        <v>208.5</v>
      </c>
      <c r="Y19" s="96"/>
      <c r="Z19" s="96"/>
      <c r="AA19" s="96"/>
    </row>
    <row r="20" spans="1:27" s="10" customFormat="1" x14ac:dyDescent="0.2">
      <c r="A20" s="97" t="s">
        <v>270</v>
      </c>
      <c r="B20" s="97" t="s">
        <v>7</v>
      </c>
      <c r="C20" s="42">
        <v>-0.7</v>
      </c>
      <c r="D20" s="43">
        <v>-1.7</v>
      </c>
      <c r="E20" s="43">
        <v>-1</v>
      </c>
      <c r="F20" s="43">
        <v>-5.0999999999999996</v>
      </c>
      <c r="G20" s="42">
        <v>-2.1</v>
      </c>
      <c r="H20" s="43">
        <v>-3.4</v>
      </c>
      <c r="I20" s="43">
        <v>-3.8</v>
      </c>
      <c r="J20" s="44">
        <v>17.100000000000001</v>
      </c>
      <c r="K20" s="42">
        <v>-1</v>
      </c>
      <c r="L20" s="43">
        <v>1.3</v>
      </c>
      <c r="M20" s="43">
        <v>-0.2</v>
      </c>
      <c r="N20" s="44">
        <v>-1.8</v>
      </c>
      <c r="O20" s="42">
        <v>3.5</v>
      </c>
      <c r="P20" s="43">
        <v>0.3</v>
      </c>
      <c r="Q20" s="43">
        <v>-12.3</v>
      </c>
      <c r="R20" s="44">
        <f>-2.5</f>
        <v>-2.5</v>
      </c>
      <c r="S20" s="42">
        <v>0.4</v>
      </c>
      <c r="T20" s="43">
        <v>-2.9</v>
      </c>
      <c r="U20" s="43">
        <v>-0.1</v>
      </c>
      <c r="V20" s="44">
        <v>3.4</v>
      </c>
      <c r="W20" s="43">
        <v>1</v>
      </c>
      <c r="X20" s="43">
        <v>2.2999999999999998</v>
      </c>
      <c r="Y20" s="96"/>
      <c r="Z20" s="96"/>
      <c r="AA20" s="96"/>
    </row>
    <row r="21" spans="1:27" s="10" customFormat="1" ht="22.5" x14ac:dyDescent="0.2">
      <c r="A21" s="97" t="s">
        <v>271</v>
      </c>
      <c r="B21" s="97" t="s">
        <v>8</v>
      </c>
      <c r="C21" s="42">
        <v>-6.3</v>
      </c>
      <c r="D21" s="43">
        <v>-26.7</v>
      </c>
      <c r="E21" s="43">
        <v>-64.400000000000006</v>
      </c>
      <c r="F21" s="43">
        <v>-5.8</v>
      </c>
      <c r="G21" s="42">
        <v>0.7</v>
      </c>
      <c r="H21" s="43">
        <v>-58.8</v>
      </c>
      <c r="I21" s="43">
        <v>7.2</v>
      </c>
      <c r="J21" s="44">
        <v>116.5</v>
      </c>
      <c r="K21" s="42">
        <v>91.7</v>
      </c>
      <c r="L21" s="43">
        <v>73.8</v>
      </c>
      <c r="M21" s="77">
        <v>54.1</v>
      </c>
      <c r="N21" s="78">
        <v>84.8</v>
      </c>
      <c r="O21" s="42">
        <v>48.1</v>
      </c>
      <c r="P21" s="77">
        <v>39.200000000000003</v>
      </c>
      <c r="Q21" s="43">
        <v>55.1</v>
      </c>
      <c r="R21" s="78">
        <v>61.2</v>
      </c>
      <c r="S21" s="42">
        <v>57.1</v>
      </c>
      <c r="T21" s="43">
        <v>37.700000000000003</v>
      </c>
      <c r="U21" s="43">
        <v>27.1</v>
      </c>
      <c r="V21" s="44">
        <v>50.5</v>
      </c>
      <c r="W21" s="43">
        <v>64.3</v>
      </c>
      <c r="X21" s="43">
        <v>131.19999999999999</v>
      </c>
      <c r="Y21" s="96"/>
      <c r="Z21" s="96"/>
      <c r="AA21" s="96"/>
    </row>
    <row r="22" spans="1:27" s="10" customFormat="1" ht="22.5" x14ac:dyDescent="0.2">
      <c r="A22" s="97" t="s">
        <v>272</v>
      </c>
      <c r="B22" s="97" t="s">
        <v>9</v>
      </c>
      <c r="C22" s="42">
        <v>12.4</v>
      </c>
      <c r="D22" s="43">
        <v>10.9</v>
      </c>
      <c r="E22" s="43">
        <v>9.6</v>
      </c>
      <c r="F22" s="43">
        <v>10.7</v>
      </c>
      <c r="G22" s="42">
        <v>11.6</v>
      </c>
      <c r="H22" s="43">
        <v>14.2</v>
      </c>
      <c r="I22" s="43">
        <v>13</v>
      </c>
      <c r="J22" s="44">
        <f>9.3+0.1</f>
        <v>9.4</v>
      </c>
      <c r="K22" s="42">
        <v>10.1</v>
      </c>
      <c r="L22" s="43">
        <v>15.5</v>
      </c>
      <c r="M22" s="43">
        <v>10.4</v>
      </c>
      <c r="N22" s="44">
        <v>16.100000000000001</v>
      </c>
      <c r="O22" s="42">
        <v>7.3</v>
      </c>
      <c r="P22" s="43">
        <v>10.9</v>
      </c>
      <c r="Q22" s="43">
        <v>10.6</v>
      </c>
      <c r="R22" s="44">
        <v>12.4</v>
      </c>
      <c r="S22" s="42">
        <v>9.6999999999999993</v>
      </c>
      <c r="T22" s="43">
        <v>13.2</v>
      </c>
      <c r="U22" s="43">
        <v>8.1999999999999993</v>
      </c>
      <c r="V22" s="44">
        <v>10.1</v>
      </c>
      <c r="W22" s="43">
        <v>6.8</v>
      </c>
      <c r="X22" s="43">
        <v>11.2</v>
      </c>
      <c r="Y22" s="96"/>
      <c r="Z22" s="96"/>
      <c r="AA22" s="96"/>
    </row>
    <row r="23" spans="1:27" s="10" customFormat="1" x14ac:dyDescent="0.2">
      <c r="A23" s="98" t="s">
        <v>273</v>
      </c>
      <c r="B23" s="98" t="s">
        <v>10</v>
      </c>
      <c r="C23" s="49">
        <f>C15-C16+C20-C21+C22</f>
        <v>209.40000000000012</v>
      </c>
      <c r="D23" s="50">
        <f t="shared" ref="D23:X23" si="4">D15-D16+D20-D21+D22</f>
        <v>203.90000000000023</v>
      </c>
      <c r="E23" s="50">
        <f t="shared" si="4"/>
        <v>249.79999999999995</v>
      </c>
      <c r="F23" s="50">
        <f t="shared" si="4"/>
        <v>123.89999999999995</v>
      </c>
      <c r="G23" s="49">
        <f t="shared" si="4"/>
        <v>214.3</v>
      </c>
      <c r="H23" s="50">
        <f t="shared" si="4"/>
        <v>294.59999999999985</v>
      </c>
      <c r="I23" s="50">
        <f t="shared" si="4"/>
        <v>205.3</v>
      </c>
      <c r="J23" s="51">
        <f t="shared" si="4"/>
        <v>-151.20000000000005</v>
      </c>
      <c r="K23" s="49">
        <f t="shared" si="4"/>
        <v>102.89999999999982</v>
      </c>
      <c r="L23" s="50">
        <f t="shared" si="4"/>
        <v>228.7</v>
      </c>
      <c r="M23" s="50">
        <f t="shared" si="4"/>
        <v>256.99999999999989</v>
      </c>
      <c r="N23" s="51">
        <f t="shared" si="4"/>
        <v>149.69999999999985</v>
      </c>
      <c r="O23" s="49">
        <f t="shared" si="4"/>
        <v>219.49999999999997</v>
      </c>
      <c r="P23" s="50">
        <f t="shared" si="4"/>
        <v>236.20000000000007</v>
      </c>
      <c r="Q23" s="50">
        <f t="shared" si="4"/>
        <v>237.39999999999992</v>
      </c>
      <c r="R23" s="51">
        <f t="shared" si="4"/>
        <v>240.99999999999997</v>
      </c>
      <c r="S23" s="49">
        <f t="shared" si="4"/>
        <v>267.09999999999985</v>
      </c>
      <c r="T23" s="50">
        <f t="shared" si="4"/>
        <v>289.99999999999994</v>
      </c>
      <c r="U23" s="50">
        <f t="shared" si="4"/>
        <v>276.59999999999997</v>
      </c>
      <c r="V23" s="51">
        <f t="shared" si="4"/>
        <v>283.90000000000009</v>
      </c>
      <c r="W23" s="50">
        <f t="shared" si="4"/>
        <v>317.60000000000008</v>
      </c>
      <c r="X23" s="50">
        <f t="shared" si="4"/>
        <v>207.29999999999995</v>
      </c>
      <c r="Y23" s="96"/>
      <c r="Z23" s="96"/>
      <c r="AA23" s="96"/>
    </row>
    <row r="24" spans="1:27" s="10" customFormat="1" x14ac:dyDescent="0.2">
      <c r="A24" s="100" t="s">
        <v>274</v>
      </c>
      <c r="B24" s="100" t="s">
        <v>11</v>
      </c>
      <c r="C24" s="42">
        <v>38.6</v>
      </c>
      <c r="D24" s="43">
        <v>34.4</v>
      </c>
      <c r="E24" s="43">
        <v>50.8</v>
      </c>
      <c r="F24" s="43">
        <v>26.4</v>
      </c>
      <c r="G24" s="42">
        <v>40.5</v>
      </c>
      <c r="H24" s="43">
        <v>60.9</v>
      </c>
      <c r="I24" s="43">
        <v>38.4</v>
      </c>
      <c r="J24" s="44">
        <v>-22.2</v>
      </c>
      <c r="K24" s="42">
        <v>22.1</v>
      </c>
      <c r="L24" s="43">
        <v>46</v>
      </c>
      <c r="M24" s="43">
        <v>46.2</v>
      </c>
      <c r="N24" s="44">
        <v>28.9</v>
      </c>
      <c r="O24" s="42">
        <v>42</v>
      </c>
      <c r="P24" s="43">
        <v>44.7</v>
      </c>
      <c r="Q24" s="43">
        <v>45</v>
      </c>
      <c r="R24" s="44">
        <v>49.3</v>
      </c>
      <c r="S24" s="42">
        <v>54.6</v>
      </c>
      <c r="T24" s="43">
        <v>56.1</v>
      </c>
      <c r="U24" s="43">
        <f>56.5</f>
        <v>56.5</v>
      </c>
      <c r="V24" s="44">
        <v>70.3</v>
      </c>
      <c r="W24" s="43">
        <v>46.1</v>
      </c>
      <c r="X24" s="43">
        <v>39.700000000000003</v>
      </c>
      <c r="Y24" s="96"/>
      <c r="Z24" s="96"/>
      <c r="AA24" s="96"/>
    </row>
    <row r="25" spans="1:27" s="10" customFormat="1" x14ac:dyDescent="0.2">
      <c r="A25" s="101" t="s">
        <v>275</v>
      </c>
      <c r="B25" s="101" t="s">
        <v>12</v>
      </c>
      <c r="C25" s="49">
        <f>C23-C24</f>
        <v>170.80000000000013</v>
      </c>
      <c r="D25" s="50">
        <f t="shared" ref="D25:X25" si="5">D23-D24</f>
        <v>169.50000000000023</v>
      </c>
      <c r="E25" s="50">
        <f t="shared" si="5"/>
        <v>198.99999999999994</v>
      </c>
      <c r="F25" s="50">
        <f t="shared" si="5"/>
        <v>97.499999999999943</v>
      </c>
      <c r="G25" s="49">
        <f t="shared" si="5"/>
        <v>173.8</v>
      </c>
      <c r="H25" s="50">
        <f t="shared" si="5"/>
        <v>233.69999999999985</v>
      </c>
      <c r="I25" s="50">
        <f t="shared" si="5"/>
        <v>166.9</v>
      </c>
      <c r="J25" s="51">
        <f t="shared" si="5"/>
        <v>-129.00000000000006</v>
      </c>
      <c r="K25" s="49">
        <f t="shared" si="5"/>
        <v>80.799999999999812</v>
      </c>
      <c r="L25" s="50">
        <f t="shared" si="5"/>
        <v>182.7</v>
      </c>
      <c r="M25" s="50">
        <f t="shared" si="5"/>
        <v>210.7999999999999</v>
      </c>
      <c r="N25" s="51">
        <f t="shared" si="5"/>
        <v>120.79999999999984</v>
      </c>
      <c r="O25" s="49">
        <f t="shared" si="5"/>
        <v>177.49999999999997</v>
      </c>
      <c r="P25" s="50">
        <f t="shared" si="5"/>
        <v>191.50000000000006</v>
      </c>
      <c r="Q25" s="50">
        <f t="shared" si="5"/>
        <v>192.39999999999992</v>
      </c>
      <c r="R25" s="51">
        <f t="shared" si="5"/>
        <v>191.7</v>
      </c>
      <c r="S25" s="49">
        <f t="shared" si="5"/>
        <v>212.49999999999986</v>
      </c>
      <c r="T25" s="50">
        <f t="shared" si="5"/>
        <v>233.89999999999995</v>
      </c>
      <c r="U25" s="50">
        <f t="shared" si="5"/>
        <v>220.09999999999997</v>
      </c>
      <c r="V25" s="51">
        <f t="shared" si="5"/>
        <v>213.60000000000008</v>
      </c>
      <c r="W25" s="50">
        <f t="shared" si="5"/>
        <v>271.50000000000006</v>
      </c>
      <c r="X25" s="50">
        <f t="shared" si="5"/>
        <v>167.59999999999997</v>
      </c>
      <c r="Y25" s="96"/>
      <c r="Z25" s="96"/>
      <c r="AA25" s="96"/>
    </row>
    <row r="26" spans="1:27" s="14" customFormat="1" x14ac:dyDescent="0.2">
      <c r="A26" s="102" t="s">
        <v>510</v>
      </c>
      <c r="B26" s="102" t="s">
        <v>568</v>
      </c>
      <c r="C26" s="103">
        <f>C25-C27</f>
        <v>167.40000000000012</v>
      </c>
      <c r="D26" s="104">
        <f t="shared" ref="D26:V26" si="6">D25-D27</f>
        <v>167.80000000000024</v>
      </c>
      <c r="E26" s="104">
        <f t="shared" si="6"/>
        <v>197.99999999999994</v>
      </c>
      <c r="F26" s="104">
        <f t="shared" si="6"/>
        <v>97.499999999999943</v>
      </c>
      <c r="G26" s="103">
        <f t="shared" si="6"/>
        <v>173.8</v>
      </c>
      <c r="H26" s="104">
        <f t="shared" si="6"/>
        <v>233.69999999999985</v>
      </c>
      <c r="I26" s="104">
        <f t="shared" si="6"/>
        <v>166.9</v>
      </c>
      <c r="J26" s="105">
        <f t="shared" si="6"/>
        <v>-129.00000000000006</v>
      </c>
      <c r="K26" s="104">
        <f t="shared" si="6"/>
        <v>80.799999999999812</v>
      </c>
      <c r="L26" s="104">
        <f t="shared" si="6"/>
        <v>182.7</v>
      </c>
      <c r="M26" s="104">
        <f t="shared" si="6"/>
        <v>210.7999999999999</v>
      </c>
      <c r="N26" s="104">
        <f t="shared" si="6"/>
        <v>120.79999999999984</v>
      </c>
      <c r="O26" s="103">
        <f t="shared" si="6"/>
        <v>177.49999999999997</v>
      </c>
      <c r="P26" s="104">
        <f t="shared" si="6"/>
        <v>191.50000000000006</v>
      </c>
      <c r="Q26" s="104">
        <f t="shared" si="6"/>
        <v>192.39999999999992</v>
      </c>
      <c r="R26" s="105">
        <f t="shared" si="6"/>
        <v>191.7</v>
      </c>
      <c r="S26" s="103">
        <f t="shared" si="6"/>
        <v>212.49999999999986</v>
      </c>
      <c r="T26" s="104">
        <f t="shared" si="6"/>
        <v>233.89999999999995</v>
      </c>
      <c r="U26" s="104">
        <f t="shared" si="6"/>
        <v>220.09999999999997</v>
      </c>
      <c r="V26" s="105">
        <f t="shared" si="6"/>
        <v>213.60000000000008</v>
      </c>
      <c r="W26" s="104">
        <f>W25-W27</f>
        <v>271.50000000000006</v>
      </c>
      <c r="X26" s="104">
        <f>X25-X27</f>
        <v>167.59999999999997</v>
      </c>
      <c r="Y26" s="96"/>
      <c r="Z26" s="96"/>
      <c r="AA26" s="106"/>
    </row>
    <row r="27" spans="1:27" x14ac:dyDescent="0.2">
      <c r="A27" s="99" t="s">
        <v>276</v>
      </c>
      <c r="B27" s="99" t="s">
        <v>13</v>
      </c>
      <c r="C27" s="42">
        <v>3.4</v>
      </c>
      <c r="D27" s="43">
        <v>1.7</v>
      </c>
      <c r="E27" s="43">
        <v>1</v>
      </c>
      <c r="F27" s="43">
        <v>0</v>
      </c>
      <c r="G27" s="42">
        <v>0</v>
      </c>
      <c r="H27" s="43">
        <v>0</v>
      </c>
      <c r="I27" s="43">
        <v>0</v>
      </c>
      <c r="J27" s="44">
        <v>0</v>
      </c>
      <c r="K27" s="42">
        <v>0</v>
      </c>
      <c r="L27" s="43">
        <v>0</v>
      </c>
      <c r="M27" s="43">
        <v>0</v>
      </c>
      <c r="N27" s="44">
        <v>0</v>
      </c>
      <c r="O27" s="42">
        <v>0</v>
      </c>
      <c r="P27" s="43">
        <v>0</v>
      </c>
      <c r="Q27" s="43">
        <v>0</v>
      </c>
      <c r="R27" s="44">
        <v>0</v>
      </c>
      <c r="S27" s="42">
        <v>0</v>
      </c>
      <c r="T27" s="43">
        <v>0</v>
      </c>
      <c r="U27" s="43">
        <v>0</v>
      </c>
      <c r="V27" s="44">
        <v>0</v>
      </c>
      <c r="W27" s="43">
        <v>0</v>
      </c>
      <c r="X27" s="43">
        <v>0</v>
      </c>
      <c r="Y27" s="96"/>
      <c r="Z27" s="96"/>
    </row>
    <row r="29" spans="1:27" x14ac:dyDescent="0.2">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7" x14ac:dyDescent="0.2">
      <c r="A30" s="3"/>
      <c r="B30" s="3"/>
    </row>
    <row r="31" spans="1:27" x14ac:dyDescent="0.2">
      <c r="A31" s="3"/>
      <c r="B31" s="3"/>
    </row>
    <row r="32" spans="1:27"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row r="49" spans="1:2" x14ac:dyDescent="0.2">
      <c r="A49" s="3"/>
      <c r="B49" s="3"/>
    </row>
    <row r="50" spans="1:2" x14ac:dyDescent="0.2">
      <c r="A50" s="3"/>
      <c r="B50" s="3"/>
    </row>
    <row r="51" spans="1:2" x14ac:dyDescent="0.2">
      <c r="A51" s="3"/>
      <c r="B51"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9"/>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8.85546875" defaultRowHeight="12.75" outlineLevelCol="1" x14ac:dyDescent="0.2"/>
  <cols>
    <col min="1" max="1" customWidth="true" style="2" width="46.85546875" collapsed="true"/>
    <col min="2" max="2" customWidth="true" hidden="true" style="2" width="48.140625" collapsed="true" outlineLevel="1"/>
    <col min="3" max="3" bestFit="true" customWidth="true" style="3" width="5.5703125" collapsed="true"/>
    <col min="4" max="24" bestFit="true" customWidth="true" style="3" width="5.5703125" collapsed="true"/>
    <col min="25" max="16384" style="3" width="8.85546875" collapsed="true"/>
  </cols>
  <sheetData>
    <row r="2" spans="1:24" x14ac:dyDescent="0.2">
      <c r="A2" s="385" t="s">
        <v>277</v>
      </c>
      <c r="B2" s="385" t="s">
        <v>61</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4" s="4" customFormat="1" ht="32.450000000000003" customHeigh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4" s="4" customFormat="1" ht="12.75" customHeight="1" x14ac:dyDescent="0.2">
      <c r="A4" s="21" t="s">
        <v>258</v>
      </c>
      <c r="B4" s="21" t="s">
        <v>15</v>
      </c>
      <c r="C4" s="17"/>
      <c r="D4" s="6"/>
      <c r="E4" s="6"/>
      <c r="F4" s="6"/>
      <c r="G4" s="17"/>
      <c r="H4" s="6"/>
      <c r="I4" s="6"/>
      <c r="J4" s="19"/>
      <c r="K4" s="17"/>
      <c r="L4" s="6"/>
      <c r="M4" s="6"/>
      <c r="N4" s="19"/>
      <c r="O4" s="17"/>
      <c r="P4" s="6"/>
      <c r="Q4" s="6"/>
      <c r="R4" s="19"/>
      <c r="S4" s="17"/>
      <c r="T4" s="6"/>
      <c r="U4" s="6"/>
      <c r="V4" s="19"/>
      <c r="W4" s="6"/>
      <c r="X4" s="6"/>
    </row>
    <row r="5" spans="1:24" s="8" customFormat="1" x14ac:dyDescent="0.2">
      <c r="A5" s="40" t="s">
        <v>278</v>
      </c>
      <c r="B5" s="40" t="s">
        <v>62</v>
      </c>
      <c r="C5" s="49">
        <v>319.63958738800977</v>
      </c>
      <c r="D5" s="50">
        <v>309.08250559928007</v>
      </c>
      <c r="E5" s="50">
        <v>320.28712174630056</v>
      </c>
      <c r="F5" s="50">
        <v>280.3673061612144</v>
      </c>
      <c r="G5" s="49">
        <v>297.12943425610678</v>
      </c>
      <c r="H5" s="50">
        <v>352.04529315705042</v>
      </c>
      <c r="I5" s="50">
        <v>342.45079429132608</v>
      </c>
      <c r="J5" s="51">
        <v>269.16494702275827</v>
      </c>
      <c r="K5" s="49">
        <v>297.39459161812385</v>
      </c>
      <c r="L5" s="50">
        <v>353.02534501926993</v>
      </c>
      <c r="M5" s="50">
        <v>340.10586240877495</v>
      </c>
      <c r="N5" s="51">
        <v>305.96789629025926</v>
      </c>
      <c r="O5" s="49">
        <v>307.64457000993525</v>
      </c>
      <c r="P5" s="50">
        <v>359.927815391205</v>
      </c>
      <c r="Q5" s="50">
        <v>369.44260081045763</v>
      </c>
      <c r="R5" s="51">
        <v>385.60800084312808</v>
      </c>
      <c r="S5" s="49">
        <v>386.30372766781323</v>
      </c>
      <c r="T5" s="50">
        <v>398.59332590873584</v>
      </c>
      <c r="U5" s="50">
        <v>378.04348846357402</v>
      </c>
      <c r="V5" s="51">
        <v>375.34026954934836</v>
      </c>
      <c r="W5" s="50">
        <v>399.77057083951712</v>
      </c>
      <c r="X5" s="50">
        <v>384.70685376080826</v>
      </c>
    </row>
    <row r="6" spans="1:24" s="4" customFormat="1" x14ac:dyDescent="0.2">
      <c r="A6" s="97" t="s">
        <v>261</v>
      </c>
      <c r="B6" s="97" t="s">
        <v>569</v>
      </c>
      <c r="C6" s="42">
        <v>138</v>
      </c>
      <c r="D6" s="43">
        <v>144.30000000000001</v>
      </c>
      <c r="E6" s="43">
        <v>148.80000000000001</v>
      </c>
      <c r="F6" s="43">
        <v>153.80000000000001</v>
      </c>
      <c r="G6" s="42">
        <v>154.30000000000001</v>
      </c>
      <c r="H6" s="43">
        <v>146</v>
      </c>
      <c r="I6" s="43">
        <v>170.6</v>
      </c>
      <c r="J6" s="44">
        <v>112</v>
      </c>
      <c r="K6" s="42">
        <v>123</v>
      </c>
      <c r="L6" s="43">
        <v>213</v>
      </c>
      <c r="M6" s="43">
        <v>153.1</v>
      </c>
      <c r="N6" s="44">
        <v>153</v>
      </c>
      <c r="O6" s="42">
        <v>178</v>
      </c>
      <c r="P6" s="43">
        <v>202.2</v>
      </c>
      <c r="Q6" s="43">
        <v>199.1</v>
      </c>
      <c r="R6" s="44">
        <v>236.5</v>
      </c>
      <c r="S6" s="42">
        <v>238.3</v>
      </c>
      <c r="T6" s="43">
        <v>245.8</v>
      </c>
      <c r="U6" s="43">
        <v>227.5</v>
      </c>
      <c r="V6" s="44">
        <v>244.5</v>
      </c>
      <c r="W6" s="43">
        <v>250.8</v>
      </c>
      <c r="X6" s="43">
        <v>248.4</v>
      </c>
    </row>
    <row r="7" spans="1:24" s="8" customFormat="1" x14ac:dyDescent="0.2">
      <c r="A7" s="97" t="s">
        <v>264</v>
      </c>
      <c r="B7" s="97" t="s">
        <v>570</v>
      </c>
      <c r="C7" s="42">
        <v>129.9</v>
      </c>
      <c r="D7" s="43">
        <v>136.30000000000001</v>
      </c>
      <c r="E7" s="43">
        <v>134.80000000000001</v>
      </c>
      <c r="F7" s="43">
        <v>124.2</v>
      </c>
      <c r="G7" s="42">
        <v>123.9</v>
      </c>
      <c r="H7" s="43">
        <v>145.80000000000001</v>
      </c>
      <c r="I7" s="43">
        <v>140.4</v>
      </c>
      <c r="J7" s="44">
        <v>189</v>
      </c>
      <c r="K7" s="42">
        <v>145.80000000000001</v>
      </c>
      <c r="L7" s="43">
        <v>148.6</v>
      </c>
      <c r="M7" s="43">
        <v>158.80000000000001</v>
      </c>
      <c r="N7" s="44">
        <v>87.4</v>
      </c>
      <c r="O7" s="42">
        <v>116.2</v>
      </c>
      <c r="P7" s="43">
        <v>158.1</v>
      </c>
      <c r="Q7" s="43">
        <v>159.80000000000001</v>
      </c>
      <c r="R7" s="44">
        <v>95.4</v>
      </c>
      <c r="S7" s="42">
        <v>128</v>
      </c>
      <c r="T7" s="43">
        <v>124.5</v>
      </c>
      <c r="U7" s="43">
        <v>153.30000000000001</v>
      </c>
      <c r="V7" s="44">
        <v>86.7</v>
      </c>
      <c r="W7" s="43">
        <v>114.6</v>
      </c>
      <c r="X7" s="43">
        <v>111.9</v>
      </c>
    </row>
    <row r="8" spans="1:24" s="8" customFormat="1" x14ac:dyDescent="0.2">
      <c r="A8" s="41" t="s">
        <v>279</v>
      </c>
      <c r="B8" s="41" t="s">
        <v>571</v>
      </c>
      <c r="C8" s="42">
        <v>39.4</v>
      </c>
      <c r="D8" s="43">
        <v>17.600000000000001</v>
      </c>
      <c r="E8" s="43">
        <v>27.1</v>
      </c>
      <c r="F8" s="43">
        <v>-8.3000000000000007</v>
      </c>
      <c r="G8" s="42">
        <v>7.3</v>
      </c>
      <c r="H8" s="43">
        <v>46</v>
      </c>
      <c r="I8" s="43">
        <v>18.5</v>
      </c>
      <c r="J8" s="44">
        <v>-41.3</v>
      </c>
      <c r="K8" s="42">
        <v>18.5</v>
      </c>
      <c r="L8" s="43">
        <v>-24.1</v>
      </c>
      <c r="M8" s="43">
        <v>17.899999999999999</v>
      </c>
      <c r="N8" s="44">
        <v>49.4</v>
      </c>
      <c r="O8" s="42">
        <v>6.2</v>
      </c>
      <c r="P8" s="43">
        <v>-11.2</v>
      </c>
      <c r="Q8" s="43">
        <v>0</v>
      </c>
      <c r="R8" s="44">
        <v>41.3</v>
      </c>
      <c r="S8" s="42">
        <v>10.4</v>
      </c>
      <c r="T8" s="43">
        <v>15.1</v>
      </c>
      <c r="U8" s="43">
        <v>-11</v>
      </c>
      <c r="V8" s="44">
        <v>34</v>
      </c>
      <c r="W8" s="43">
        <v>27.6</v>
      </c>
      <c r="X8" s="43">
        <v>13.3</v>
      </c>
    </row>
    <row r="9" spans="1:24" s="4" customFormat="1" ht="22.5" x14ac:dyDescent="0.2">
      <c r="A9" s="97" t="s">
        <v>280</v>
      </c>
      <c r="B9" s="97" t="s">
        <v>572</v>
      </c>
      <c r="C9" s="42">
        <v>12.4</v>
      </c>
      <c r="D9" s="43">
        <v>10.9</v>
      </c>
      <c r="E9" s="43">
        <v>9.6</v>
      </c>
      <c r="F9" s="43">
        <v>10.7</v>
      </c>
      <c r="G9" s="42">
        <v>11.6</v>
      </c>
      <c r="H9" s="43">
        <v>14.2</v>
      </c>
      <c r="I9" s="43">
        <v>13</v>
      </c>
      <c r="J9" s="44">
        <v>9.4</v>
      </c>
      <c r="K9" s="42">
        <v>10.1</v>
      </c>
      <c r="L9" s="43">
        <v>15.5</v>
      </c>
      <c r="M9" s="43">
        <v>10.4</v>
      </c>
      <c r="N9" s="44">
        <v>16.100000000000001</v>
      </c>
      <c r="O9" s="42">
        <v>7.3</v>
      </c>
      <c r="P9" s="43">
        <v>10.9</v>
      </c>
      <c r="Q9" s="43">
        <v>10.6</v>
      </c>
      <c r="R9" s="44">
        <v>12.4</v>
      </c>
      <c r="S9" s="42">
        <v>9.6999999999999993</v>
      </c>
      <c r="T9" s="43">
        <v>13.2</v>
      </c>
      <c r="U9" s="43">
        <v>8.1999999999999993</v>
      </c>
      <c r="V9" s="44">
        <v>10.1</v>
      </c>
      <c r="W9" s="43">
        <v>6.8</v>
      </c>
      <c r="X9" s="43">
        <v>11.2</v>
      </c>
    </row>
    <row r="10" spans="1:24" s="10" customFormat="1" x14ac:dyDescent="0.2">
      <c r="A10" s="108" t="s">
        <v>281</v>
      </c>
      <c r="B10" s="108" t="s">
        <v>63</v>
      </c>
      <c r="C10" s="49">
        <v>212.95803644584797</v>
      </c>
      <c r="D10" s="50">
        <v>218.48077414896454</v>
      </c>
      <c r="E10" s="50">
        <v>226.14172289064427</v>
      </c>
      <c r="F10" s="50">
        <v>224.44056435287365</v>
      </c>
      <c r="G10" s="49">
        <v>233.99580787925493</v>
      </c>
      <c r="H10" s="50">
        <v>251.19495296969185</v>
      </c>
      <c r="I10" s="50">
        <v>250.13152602702687</v>
      </c>
      <c r="J10" s="51">
        <v>228.30036721602806</v>
      </c>
      <c r="K10" s="49">
        <v>229.23083526196376</v>
      </c>
      <c r="L10" s="50">
        <v>248.09704073513711</v>
      </c>
      <c r="M10" s="50">
        <v>252.4230313987876</v>
      </c>
      <c r="N10" s="51">
        <v>233.1980054569332</v>
      </c>
      <c r="O10" s="49">
        <v>248.47475103293607</v>
      </c>
      <c r="P10" s="50">
        <v>256.6639869545761</v>
      </c>
      <c r="Q10" s="50">
        <v>263.84613170569031</v>
      </c>
      <c r="R10" s="51">
        <v>251.89949099004383</v>
      </c>
      <c r="S10" s="49">
        <v>251.59883953772504</v>
      </c>
      <c r="T10" s="50">
        <v>252.33522009628837</v>
      </c>
      <c r="U10" s="50">
        <v>280.95706470617949</v>
      </c>
      <c r="V10" s="51">
        <v>255.14521147487164</v>
      </c>
      <c r="W10" s="50">
        <v>281.22128575690374</v>
      </c>
      <c r="X10" s="50">
        <v>278.72572837048364</v>
      </c>
    </row>
    <row r="11" spans="1:24" s="10" customFormat="1" x14ac:dyDescent="0.2">
      <c r="A11" s="99" t="s">
        <v>514</v>
      </c>
      <c r="B11" s="99" t="s">
        <v>573</v>
      </c>
      <c r="C11" s="42">
        <v>98.3</v>
      </c>
      <c r="D11" s="43">
        <v>106.9</v>
      </c>
      <c r="E11" s="43">
        <v>110.9</v>
      </c>
      <c r="F11" s="43">
        <v>123.5</v>
      </c>
      <c r="G11" s="42">
        <v>111.2</v>
      </c>
      <c r="H11" s="43">
        <v>112.5</v>
      </c>
      <c r="I11" s="43">
        <v>129</v>
      </c>
      <c r="J11" s="44">
        <v>122.2</v>
      </c>
      <c r="K11" s="42">
        <v>98.4</v>
      </c>
      <c r="L11" s="43">
        <v>108.8</v>
      </c>
      <c r="M11" s="43">
        <v>110.5</v>
      </c>
      <c r="N11" s="44">
        <v>121.1</v>
      </c>
      <c r="O11" s="42">
        <v>109.7</v>
      </c>
      <c r="P11" s="43">
        <v>113.8</v>
      </c>
      <c r="Q11" s="43">
        <v>123.4</v>
      </c>
      <c r="R11" s="44">
        <v>151.19999999999999</v>
      </c>
      <c r="S11" s="42">
        <v>121</v>
      </c>
      <c r="T11" s="43">
        <v>117.2</v>
      </c>
      <c r="U11" s="43">
        <v>138.19999999999999</v>
      </c>
      <c r="V11" s="44">
        <v>124.1</v>
      </c>
      <c r="W11" s="43">
        <v>128.69999999999999</v>
      </c>
      <c r="X11" s="43">
        <v>126.5</v>
      </c>
    </row>
    <row r="12" spans="1:24" s="8" customFormat="1" x14ac:dyDescent="0.2">
      <c r="A12" s="97" t="s">
        <v>515</v>
      </c>
      <c r="B12" s="97" t="s">
        <v>574</v>
      </c>
      <c r="C12" s="42">
        <v>22</v>
      </c>
      <c r="D12" s="43">
        <v>23</v>
      </c>
      <c r="E12" s="43">
        <v>22.3</v>
      </c>
      <c r="F12" s="43">
        <v>31.2</v>
      </c>
      <c r="G12" s="42">
        <v>25</v>
      </c>
      <c r="H12" s="43">
        <v>25.6</v>
      </c>
      <c r="I12" s="43">
        <v>24.8</v>
      </c>
      <c r="J12" s="44">
        <v>24.1</v>
      </c>
      <c r="K12" s="42">
        <v>23.3</v>
      </c>
      <c r="L12" s="43">
        <v>24.3</v>
      </c>
      <c r="M12" s="43">
        <v>23.4</v>
      </c>
      <c r="N12" s="44">
        <v>23.5</v>
      </c>
      <c r="O12" s="42">
        <v>21.6</v>
      </c>
      <c r="P12" s="43">
        <v>22</v>
      </c>
      <c r="Q12" s="43">
        <v>22.2</v>
      </c>
      <c r="R12" s="44">
        <v>23.8</v>
      </c>
      <c r="S12" s="42">
        <v>21.8</v>
      </c>
      <c r="T12" s="43">
        <v>22.1</v>
      </c>
      <c r="U12" s="43">
        <v>24.5</v>
      </c>
      <c r="V12" s="44">
        <v>25</v>
      </c>
      <c r="W12" s="43">
        <v>24</v>
      </c>
      <c r="X12" s="43">
        <v>25</v>
      </c>
    </row>
    <row r="13" spans="1:24" s="10" customFormat="1" x14ac:dyDescent="0.2">
      <c r="A13" s="97" t="s">
        <v>516</v>
      </c>
      <c r="B13" s="97" t="s">
        <v>575</v>
      </c>
      <c r="C13" s="42">
        <v>92.7</v>
      </c>
      <c r="D13" s="43">
        <v>88.5</v>
      </c>
      <c r="E13" s="43">
        <v>92.9</v>
      </c>
      <c r="F13" s="43">
        <v>69.8</v>
      </c>
      <c r="G13" s="42">
        <v>97.8</v>
      </c>
      <c r="H13" s="43">
        <v>113.1</v>
      </c>
      <c r="I13" s="43">
        <v>96.3</v>
      </c>
      <c r="J13" s="44">
        <v>81.900000000000006</v>
      </c>
      <c r="K13" s="42">
        <v>107.6</v>
      </c>
      <c r="L13" s="43">
        <v>115.1</v>
      </c>
      <c r="M13" s="43">
        <v>118.5</v>
      </c>
      <c r="N13" s="44">
        <v>88.6</v>
      </c>
      <c r="O13" s="42">
        <v>117.1</v>
      </c>
      <c r="P13" s="43">
        <v>120.9</v>
      </c>
      <c r="Q13" s="43">
        <v>118.2</v>
      </c>
      <c r="R13" s="44">
        <v>76.900000000000006</v>
      </c>
      <c r="S13" s="42">
        <v>108.9</v>
      </c>
      <c r="T13" s="43">
        <v>113</v>
      </c>
      <c r="U13" s="43">
        <v>118.2</v>
      </c>
      <c r="V13" s="44">
        <v>106.1</v>
      </c>
      <c r="W13" s="43">
        <v>128.5</v>
      </c>
      <c r="X13" s="43">
        <v>127.3</v>
      </c>
    </row>
    <row r="14" spans="1:24" s="10" customFormat="1" x14ac:dyDescent="0.2">
      <c r="A14" s="98" t="s">
        <v>511</v>
      </c>
      <c r="B14" s="98" t="s">
        <v>576</v>
      </c>
      <c r="C14" s="49">
        <v>106.68155094216181</v>
      </c>
      <c r="D14" s="50">
        <v>90.601731450315526</v>
      </c>
      <c r="E14" s="50">
        <v>94.145398855656282</v>
      </c>
      <c r="F14" s="50">
        <v>55.926741808340751</v>
      </c>
      <c r="G14" s="49">
        <v>63.133626376851851</v>
      </c>
      <c r="H14" s="50">
        <v>100.85034018735857</v>
      </c>
      <c r="I14" s="50">
        <v>92.319268264299211</v>
      </c>
      <c r="J14" s="51">
        <v>40.864579806730205</v>
      </c>
      <c r="K14" s="49">
        <v>68.163756356160093</v>
      </c>
      <c r="L14" s="50">
        <v>104.92830428413282</v>
      </c>
      <c r="M14" s="50">
        <v>87.682831009987353</v>
      </c>
      <c r="N14" s="51">
        <v>72.769890833326059</v>
      </c>
      <c r="O14" s="49">
        <v>59.169818976999181</v>
      </c>
      <c r="P14" s="50">
        <v>103.2638284366289</v>
      </c>
      <c r="Q14" s="50">
        <v>105.59646910476732</v>
      </c>
      <c r="R14" s="51">
        <v>133.70850985308425</v>
      </c>
      <c r="S14" s="49">
        <v>134.70488813008819</v>
      </c>
      <c r="T14" s="50">
        <v>146.25810581244747</v>
      </c>
      <c r="U14" s="50">
        <v>97.086423757394527</v>
      </c>
      <c r="V14" s="51">
        <v>120.19505807447672</v>
      </c>
      <c r="W14" s="50">
        <v>118.54928508261338</v>
      </c>
      <c r="X14" s="50">
        <v>105.98112539032462</v>
      </c>
    </row>
    <row r="15" spans="1:24" s="10" customFormat="1" x14ac:dyDescent="0.2">
      <c r="A15" s="99" t="s">
        <v>282</v>
      </c>
      <c r="B15" s="99" t="s">
        <v>577</v>
      </c>
      <c r="C15" s="42">
        <v>-2.4</v>
      </c>
      <c r="D15" s="43">
        <v>-10.4</v>
      </c>
      <c r="E15" s="43">
        <v>-25</v>
      </c>
      <c r="F15" s="43">
        <v>-2.2000000000000002</v>
      </c>
      <c r="G15" s="42">
        <v>-2.6</v>
      </c>
      <c r="H15" s="43">
        <v>6</v>
      </c>
      <c r="I15" s="43">
        <v>4.9000000000000004</v>
      </c>
      <c r="J15" s="44">
        <v>20.100000000000001</v>
      </c>
      <c r="K15" s="42">
        <v>12.8</v>
      </c>
      <c r="L15" s="43">
        <v>6.8</v>
      </c>
      <c r="M15" s="43">
        <v>21.4</v>
      </c>
      <c r="N15" s="44">
        <v>22.8</v>
      </c>
      <c r="O15" s="42">
        <v>21.2</v>
      </c>
      <c r="P15" s="43">
        <v>13</v>
      </c>
      <c r="Q15" s="43">
        <v>21.3</v>
      </c>
      <c r="R15" s="44">
        <v>25.6</v>
      </c>
      <c r="S15" s="42">
        <v>33.9</v>
      </c>
      <c r="T15" s="43">
        <v>21.2</v>
      </c>
      <c r="U15" s="43">
        <v>21</v>
      </c>
      <c r="V15" s="44">
        <v>14.1</v>
      </c>
      <c r="W15" s="43">
        <v>19.3</v>
      </c>
      <c r="X15" s="43">
        <v>25.2</v>
      </c>
    </row>
    <row r="16" spans="1:24" s="10" customFormat="1" ht="24.6" customHeight="1" x14ac:dyDescent="0.2">
      <c r="A16" s="109" t="s">
        <v>512</v>
      </c>
      <c r="B16" s="109" t="s">
        <v>578</v>
      </c>
      <c r="C16" s="103">
        <v>109.12480738143277</v>
      </c>
      <c r="D16" s="104">
        <v>100.95648493103536</v>
      </c>
      <c r="E16" s="104">
        <v>119.12090912375956</v>
      </c>
      <c r="F16" s="104">
        <v>58.176089006399742</v>
      </c>
      <c r="G16" s="103">
        <v>65.69701970464412</v>
      </c>
      <c r="H16" s="104">
        <v>94.802150859566297</v>
      </c>
      <c r="I16" s="104">
        <v>87.409064264299204</v>
      </c>
      <c r="J16" s="104">
        <v>20.819579806730204</v>
      </c>
      <c r="K16" s="103">
        <v>55.342819716161294</v>
      </c>
      <c r="L16" s="104">
        <v>98.139350556456264</v>
      </c>
      <c r="M16" s="104">
        <v>66.234957282462673</v>
      </c>
      <c r="N16" s="104">
        <v>49.965057140363761</v>
      </c>
      <c r="O16" s="103">
        <v>37.942722499090884</v>
      </c>
      <c r="P16" s="104">
        <v>90.243798188641392</v>
      </c>
      <c r="Q16" s="104">
        <v>84.296038140208836</v>
      </c>
      <c r="R16" s="104">
        <v>108.12684888647132</v>
      </c>
      <c r="S16" s="103">
        <v>100.83321554994622</v>
      </c>
      <c r="T16" s="104">
        <v>125.0250383537024</v>
      </c>
      <c r="U16" s="104">
        <v>76.051820256777319</v>
      </c>
      <c r="V16" s="104">
        <v>106.11554603793257</v>
      </c>
      <c r="W16" s="103">
        <v>99.311395038816798</v>
      </c>
      <c r="X16" s="104">
        <v>80.744920342041482</v>
      </c>
    </row>
    <row r="17" spans="1:24" x14ac:dyDescent="0.2">
      <c r="A17" s="15"/>
      <c r="B17" s="15"/>
      <c r="C17" s="24"/>
      <c r="D17" s="24"/>
      <c r="E17" s="24"/>
      <c r="F17" s="24"/>
      <c r="G17" s="24"/>
      <c r="H17" s="24"/>
      <c r="I17" s="24"/>
      <c r="J17" s="24"/>
      <c r="K17" s="24"/>
      <c r="L17" s="24"/>
      <c r="M17" s="24"/>
      <c r="N17" s="24"/>
      <c r="O17" s="24"/>
      <c r="P17" s="24"/>
      <c r="Q17" s="24"/>
      <c r="R17" s="24"/>
      <c r="S17" s="24"/>
      <c r="T17" s="24"/>
      <c r="U17" s="24"/>
      <c r="V17" s="24"/>
      <c r="W17" s="24"/>
      <c r="X17" s="24"/>
    </row>
    <row r="18" spans="1:24" x14ac:dyDescent="0.2">
      <c r="A18" s="26" t="s">
        <v>283</v>
      </c>
      <c r="B18" s="26" t="s">
        <v>64</v>
      </c>
      <c r="C18" s="25"/>
      <c r="D18" s="25"/>
      <c r="E18" s="25"/>
      <c r="F18" s="25"/>
      <c r="G18" s="25"/>
      <c r="H18" s="25"/>
      <c r="I18" s="25"/>
      <c r="J18" s="25"/>
      <c r="K18" s="25"/>
      <c r="L18" s="25"/>
      <c r="M18" s="25"/>
      <c r="N18" s="25"/>
      <c r="O18" s="25"/>
      <c r="P18" s="25"/>
      <c r="Q18" s="25"/>
      <c r="R18" s="25"/>
      <c r="S18" s="25"/>
      <c r="T18" s="25"/>
      <c r="U18" s="25"/>
      <c r="V18" s="25"/>
      <c r="W18" s="25"/>
      <c r="X18" s="25"/>
    </row>
    <row r="21" spans="1:24" hidden="1" x14ac:dyDescent="0.2">
      <c r="A21" s="110"/>
      <c r="B21" s="110" t="s">
        <v>579</v>
      </c>
      <c r="C21" s="111">
        <f>SUM(C22:C25)</f>
        <v>319.63958738800977</v>
      </c>
      <c r="D21" s="111">
        <f t="shared" ref="D21:X21" si="0">SUM(D22:D25)</f>
        <v>309.08250559928007</v>
      </c>
      <c r="E21" s="111">
        <f t="shared" si="0"/>
        <v>320.28712174630056</v>
      </c>
      <c r="F21" s="111">
        <f t="shared" si="0"/>
        <v>280.3673061612144</v>
      </c>
      <c r="G21" s="111">
        <f t="shared" si="0"/>
        <v>297.12943425610678</v>
      </c>
      <c r="H21" s="111">
        <f t="shared" si="0"/>
        <v>352.04529315705042</v>
      </c>
      <c r="I21" s="111">
        <f t="shared" si="0"/>
        <v>342.45079429132608</v>
      </c>
      <c r="J21" s="111">
        <f t="shared" si="0"/>
        <v>269.16494702275827</v>
      </c>
      <c r="K21" s="111">
        <f t="shared" si="0"/>
        <v>297.39459161812385</v>
      </c>
      <c r="L21" s="111">
        <f t="shared" si="0"/>
        <v>353.02534501926993</v>
      </c>
      <c r="M21" s="111">
        <f t="shared" si="0"/>
        <v>340.10586240877495</v>
      </c>
      <c r="N21" s="111">
        <f t="shared" si="0"/>
        <v>305.96789629025926</v>
      </c>
      <c r="O21" s="111">
        <f t="shared" si="0"/>
        <v>307.64457000993525</v>
      </c>
      <c r="P21" s="111">
        <f t="shared" si="0"/>
        <v>359.927815391205</v>
      </c>
      <c r="Q21" s="111">
        <f t="shared" si="0"/>
        <v>369.44260081045763</v>
      </c>
      <c r="R21" s="111">
        <f t="shared" si="0"/>
        <v>385.60800084312808</v>
      </c>
      <c r="S21" s="111">
        <f t="shared" si="0"/>
        <v>386.30372766781323</v>
      </c>
      <c r="T21" s="111">
        <f t="shared" si="0"/>
        <v>398.59332590873584</v>
      </c>
      <c r="U21" s="111">
        <f t="shared" si="0"/>
        <v>378.04348846357402</v>
      </c>
      <c r="V21" s="111">
        <f t="shared" si="0"/>
        <v>375.34026954934836</v>
      </c>
      <c r="W21" s="111">
        <f t="shared" si="0"/>
        <v>399.77057083951712</v>
      </c>
      <c r="X21" s="111">
        <f t="shared" si="0"/>
        <v>384.70685376080826</v>
      </c>
    </row>
    <row r="22" spans="1:24" hidden="1" x14ac:dyDescent="0.2">
      <c r="C22" s="107">
        <v>137.95980711736232</v>
      </c>
      <c r="D22" s="107">
        <v>144.27054797660642</v>
      </c>
      <c r="E22" s="107">
        <v>148.76987247810439</v>
      </c>
      <c r="F22" s="107">
        <v>153.79509205120613</v>
      </c>
      <c r="G22" s="107">
        <v>154.3427896148855</v>
      </c>
      <c r="H22" s="107">
        <v>145.98335934328622</v>
      </c>
      <c r="I22" s="107">
        <v>170.60395543808934</v>
      </c>
      <c r="J22" s="107">
        <v>112.00480373678751</v>
      </c>
      <c r="K22" s="107">
        <v>122.98548651892672</v>
      </c>
      <c r="L22" s="107">
        <v>213.00890430094262</v>
      </c>
      <c r="M22" s="107">
        <v>153.05264678097211</v>
      </c>
      <c r="N22" s="107">
        <v>152.98992283424116</v>
      </c>
      <c r="O22" s="107">
        <v>178.02479187380712</v>
      </c>
      <c r="P22" s="107">
        <v>202.18868542527446</v>
      </c>
      <c r="Q22" s="107">
        <v>199.08626523669761</v>
      </c>
      <c r="R22" s="107">
        <v>236.53033982738418</v>
      </c>
      <c r="S22" s="107">
        <v>238.27280743921943</v>
      </c>
      <c r="T22" s="107">
        <v>245.75552620499866</v>
      </c>
      <c r="U22" s="107">
        <v>227.49939242278992</v>
      </c>
      <c r="V22" s="107">
        <v>244.52341410241078</v>
      </c>
      <c r="W22" s="107">
        <v>250.78079417625193</v>
      </c>
      <c r="X22" s="107">
        <v>248.39606917999507</v>
      </c>
    </row>
    <row r="23" spans="1:24" hidden="1" x14ac:dyDescent="0.2">
      <c r="C23" s="107">
        <v>129.8960826861061</v>
      </c>
      <c r="D23" s="107">
        <v>136.32368911681763</v>
      </c>
      <c r="E23" s="107">
        <v>134.80443668774035</v>
      </c>
      <c r="F23" s="107">
        <v>124.16966968419946</v>
      </c>
      <c r="G23" s="107">
        <v>123.91716359056787</v>
      </c>
      <c r="H23" s="107">
        <v>145.82178536176585</v>
      </c>
      <c r="I23" s="107">
        <v>140.35132326236882</v>
      </c>
      <c r="J23" s="107">
        <v>189.03799089352725</v>
      </c>
      <c r="K23" s="107">
        <v>145.79905571878822</v>
      </c>
      <c r="L23" s="107">
        <v>148.60313814605229</v>
      </c>
      <c r="M23" s="107">
        <v>158.7695061749377</v>
      </c>
      <c r="N23" s="107">
        <v>87.431574537223113</v>
      </c>
      <c r="O23" s="107">
        <v>116.16340221768431</v>
      </c>
      <c r="P23" s="107">
        <v>158.07228182541829</v>
      </c>
      <c r="Q23" s="107">
        <v>159.80051653334027</v>
      </c>
      <c r="R23" s="107">
        <v>95.413177254031382</v>
      </c>
      <c r="S23" s="107">
        <v>127.97171244992504</v>
      </c>
      <c r="T23" s="107">
        <v>124.49227345304126</v>
      </c>
      <c r="U23" s="107">
        <v>153.29541816548127</v>
      </c>
      <c r="V23" s="107">
        <v>86.698141513113683</v>
      </c>
      <c r="W23" s="107">
        <v>114.59190971619108</v>
      </c>
      <c r="X23" s="107">
        <v>111.86046208713933</v>
      </c>
    </row>
    <row r="24" spans="1:24" hidden="1" x14ac:dyDescent="0.2">
      <c r="C24" s="107">
        <v>39.38369758454138</v>
      </c>
      <c r="D24" s="107">
        <v>17.588268505856025</v>
      </c>
      <c r="E24" s="107">
        <v>27.112812580455792</v>
      </c>
      <c r="F24" s="107">
        <v>-8.2974555741911953</v>
      </c>
      <c r="G24" s="107">
        <v>7.2694810506533685</v>
      </c>
      <c r="H24" s="107">
        <v>46.040148451998391</v>
      </c>
      <c r="I24" s="107">
        <v>18.49551559086791</v>
      </c>
      <c r="J24" s="107">
        <v>-41.277847607556474</v>
      </c>
      <c r="K24" s="107">
        <v>18.510049380408887</v>
      </c>
      <c r="L24" s="107">
        <v>-24.086697427724992</v>
      </c>
      <c r="M24" s="107">
        <v>17.883709452865183</v>
      </c>
      <c r="N24" s="107">
        <v>49.446398918794962</v>
      </c>
      <c r="O24" s="107">
        <v>6.1563759184438371</v>
      </c>
      <c r="P24" s="107">
        <v>-11.233151859487689</v>
      </c>
      <c r="Q24" s="107">
        <v>-4.4180959580247148E-2</v>
      </c>
      <c r="R24" s="107">
        <v>41.26448376171254</v>
      </c>
      <c r="S24" s="107">
        <v>10.359207778668758</v>
      </c>
      <c r="T24" s="107">
        <v>15.145526250695934</v>
      </c>
      <c r="U24" s="107">
        <v>-10.951322124697139</v>
      </c>
      <c r="V24" s="107">
        <v>34.018713933823847</v>
      </c>
      <c r="W24" s="107">
        <v>27.597866947074081</v>
      </c>
      <c r="X24" s="107">
        <v>13.250322493673863</v>
      </c>
    </row>
    <row r="25" spans="1:24" hidden="1" x14ac:dyDescent="0.2">
      <c r="C25" s="107">
        <v>12.4</v>
      </c>
      <c r="D25" s="107">
        <v>10.9</v>
      </c>
      <c r="E25" s="107">
        <v>9.6</v>
      </c>
      <c r="F25" s="107">
        <v>10.7</v>
      </c>
      <c r="G25" s="107">
        <v>11.6</v>
      </c>
      <c r="H25" s="107">
        <v>14.2</v>
      </c>
      <c r="I25" s="107">
        <v>12.999999999999996</v>
      </c>
      <c r="J25" s="107">
        <v>9.4</v>
      </c>
      <c r="K25" s="107">
        <v>10.1</v>
      </c>
      <c r="L25" s="107">
        <v>15.5</v>
      </c>
      <c r="M25" s="107">
        <v>10.400000000000002</v>
      </c>
      <c r="N25" s="107">
        <v>16.100000000000001</v>
      </c>
      <c r="O25" s="107">
        <v>7.3</v>
      </c>
      <c r="P25" s="107">
        <v>10.9</v>
      </c>
      <c r="Q25" s="107">
        <v>10.600000000000001</v>
      </c>
      <c r="R25" s="107">
        <v>12.399999999999995</v>
      </c>
      <c r="S25" s="107">
        <v>9.6999999999999993</v>
      </c>
      <c r="T25" s="107">
        <v>13.2</v>
      </c>
      <c r="U25" s="107">
        <v>8.1999999999999993</v>
      </c>
      <c r="V25" s="107">
        <v>10.099999999999996</v>
      </c>
      <c r="W25" s="107">
        <v>6.8</v>
      </c>
      <c r="X25" s="107">
        <v>11.2</v>
      </c>
    </row>
    <row r="26" spans="1:24" hidden="1" x14ac:dyDescent="0.2">
      <c r="C26" s="111">
        <f>SUM(C27:C29)</f>
        <v>212.95803644584797</v>
      </c>
      <c r="D26" s="111">
        <f t="shared" ref="D26:X26" si="1">SUM(D27:D29)</f>
        <v>218.48077414896454</v>
      </c>
      <c r="E26" s="111">
        <f t="shared" si="1"/>
        <v>226.14172289064427</v>
      </c>
      <c r="F26" s="111">
        <f t="shared" si="1"/>
        <v>224.44056435287365</v>
      </c>
      <c r="G26" s="111">
        <f t="shared" si="1"/>
        <v>233.99580787925493</v>
      </c>
      <c r="H26" s="111">
        <f t="shared" si="1"/>
        <v>251.19495296969185</v>
      </c>
      <c r="I26" s="111">
        <f t="shared" si="1"/>
        <v>250.13152602702687</v>
      </c>
      <c r="J26" s="111">
        <f t="shared" si="1"/>
        <v>228.30036721602806</v>
      </c>
      <c r="K26" s="111">
        <f t="shared" si="1"/>
        <v>229.23083526196376</v>
      </c>
      <c r="L26" s="111">
        <f t="shared" si="1"/>
        <v>248.09704073513711</v>
      </c>
      <c r="M26" s="111">
        <f t="shared" si="1"/>
        <v>252.4230313987876</v>
      </c>
      <c r="N26" s="111">
        <f t="shared" si="1"/>
        <v>233.1980054569332</v>
      </c>
      <c r="O26" s="111">
        <f t="shared" si="1"/>
        <v>248.47475103293607</v>
      </c>
      <c r="P26" s="111">
        <f t="shared" si="1"/>
        <v>256.6639869545761</v>
      </c>
      <c r="Q26" s="111">
        <f t="shared" si="1"/>
        <v>263.84613170569031</v>
      </c>
      <c r="R26" s="111">
        <f t="shared" si="1"/>
        <v>251.89949099004383</v>
      </c>
      <c r="S26" s="111">
        <f t="shared" si="1"/>
        <v>251.59883953772504</v>
      </c>
      <c r="T26" s="111">
        <f t="shared" si="1"/>
        <v>252.33522009628837</v>
      </c>
      <c r="U26" s="111">
        <f t="shared" si="1"/>
        <v>280.95706470617949</v>
      </c>
      <c r="V26" s="111">
        <f t="shared" si="1"/>
        <v>255.14521147487164</v>
      </c>
      <c r="W26" s="111">
        <f t="shared" si="1"/>
        <v>281.22128575690374</v>
      </c>
      <c r="X26" s="111">
        <f t="shared" si="1"/>
        <v>278.72572837048364</v>
      </c>
    </row>
    <row r="27" spans="1:24" hidden="1" x14ac:dyDescent="0.2">
      <c r="A27" s="3"/>
      <c r="B27" s="3"/>
      <c r="C27" s="107">
        <v>98.293069481244302</v>
      </c>
      <c r="D27" s="107">
        <v>106.93980780559697</v>
      </c>
      <c r="E27" s="107">
        <v>110.94528217643682</v>
      </c>
      <c r="F27" s="107">
        <v>123.53391591336204</v>
      </c>
      <c r="G27" s="107">
        <v>111.24750881942479</v>
      </c>
      <c r="H27" s="107">
        <v>112.49873511544182</v>
      </c>
      <c r="I27" s="107">
        <v>129.04924684990957</v>
      </c>
      <c r="J27" s="107">
        <v>122.19489180588957</v>
      </c>
      <c r="K27" s="107">
        <v>98.37543077195059</v>
      </c>
      <c r="L27" s="107">
        <v>108.76507769808741</v>
      </c>
      <c r="M27" s="107">
        <v>110.52781156838378</v>
      </c>
      <c r="N27" s="107">
        <v>121.08432933806991</v>
      </c>
      <c r="O27" s="107">
        <v>109.74109441537419</v>
      </c>
      <c r="P27" s="107">
        <v>113.80085229646775</v>
      </c>
      <c r="Q27" s="107">
        <v>123.39121452486549</v>
      </c>
      <c r="R27" s="107">
        <v>151.24410614477176</v>
      </c>
      <c r="S27" s="107">
        <v>120.96977484554097</v>
      </c>
      <c r="T27" s="107">
        <v>117.2028070697135</v>
      </c>
      <c r="U27" s="107">
        <v>138.2441618474092</v>
      </c>
      <c r="V27" s="107">
        <v>124.08564589921353</v>
      </c>
      <c r="W27" s="107">
        <v>128.68977034966326</v>
      </c>
      <c r="X27" s="107">
        <v>126.46873900002687</v>
      </c>
    </row>
    <row r="28" spans="1:24" hidden="1" x14ac:dyDescent="0.2">
      <c r="A28" s="3"/>
      <c r="B28" s="3"/>
      <c r="C28" s="107">
        <v>21.998319560485466</v>
      </c>
      <c r="D28" s="107">
        <v>23.015582892762254</v>
      </c>
      <c r="E28" s="107">
        <v>22.252635393554662</v>
      </c>
      <c r="F28" s="107">
        <v>31.153689550976527</v>
      </c>
      <c r="G28" s="107">
        <v>24.970499999999998</v>
      </c>
      <c r="H28" s="107">
        <v>25.569983195762852</v>
      </c>
      <c r="I28" s="107">
        <v>24.824679494631329</v>
      </c>
      <c r="J28" s="107">
        <v>24.143643640244559</v>
      </c>
      <c r="K28" s="107">
        <v>23.279715700044036</v>
      </c>
      <c r="L28" s="107">
        <v>24.271395141526511</v>
      </c>
      <c r="M28" s="107">
        <v>23.386383886611789</v>
      </c>
      <c r="N28" s="107">
        <v>23.473837851621415</v>
      </c>
      <c r="O28" s="107">
        <v>21.648306889995826</v>
      </c>
      <c r="P28" s="107">
        <v>22.009896448573741</v>
      </c>
      <c r="Q28" s="107">
        <v>22.249982974228725</v>
      </c>
      <c r="R28" s="107">
        <v>23.754899237365002</v>
      </c>
      <c r="S28" s="107">
        <v>21.765768289258965</v>
      </c>
      <c r="T28" s="107">
        <v>22.131241155881568</v>
      </c>
      <c r="U28" s="107">
        <v>24.465625963249511</v>
      </c>
      <c r="V28" s="107">
        <v>24.9782541590926</v>
      </c>
      <c r="W28" s="107">
        <v>23.988583030487067</v>
      </c>
      <c r="X28" s="107">
        <v>24.956365988282109</v>
      </c>
    </row>
    <row r="29" spans="1:24" hidden="1" x14ac:dyDescent="0.2">
      <c r="A29" s="3"/>
      <c r="B29" s="3"/>
      <c r="C29" s="107">
        <v>92.666647404118194</v>
      </c>
      <c r="D29" s="107">
        <v>88.525383450605318</v>
      </c>
      <c r="E29" s="107">
        <v>92.943805320652785</v>
      </c>
      <c r="F29" s="107">
        <v>69.752958888535076</v>
      </c>
      <c r="G29" s="107">
        <v>97.777799059830116</v>
      </c>
      <c r="H29" s="107">
        <v>113.12623465848719</v>
      </c>
      <c r="I29" s="107">
        <v>96.25759968248596</v>
      </c>
      <c r="J29" s="107">
        <v>81.961831769893934</v>
      </c>
      <c r="K29" s="107">
        <v>107.57568878996912</v>
      </c>
      <c r="L29" s="107">
        <v>115.06056789552322</v>
      </c>
      <c r="M29" s="107">
        <v>118.50883594379202</v>
      </c>
      <c r="N29" s="107">
        <v>88.639838267241885</v>
      </c>
      <c r="O29" s="107">
        <v>117.08534972756603</v>
      </c>
      <c r="P29" s="107">
        <v>120.85323820953462</v>
      </c>
      <c r="Q29" s="107">
        <v>118.20493420659609</v>
      </c>
      <c r="R29" s="107">
        <v>76.900485607907044</v>
      </c>
      <c r="S29" s="107">
        <v>108.86329640292509</v>
      </c>
      <c r="T29" s="107">
        <v>113.0011718706933</v>
      </c>
      <c r="U29" s="107">
        <v>118.24727689552077</v>
      </c>
      <c r="V29" s="107">
        <v>106.0813114165655</v>
      </c>
      <c r="W29" s="107">
        <v>128.54293237675344</v>
      </c>
      <c r="X29" s="107">
        <v>127.30062338217465</v>
      </c>
    </row>
    <row r="30" spans="1:24" hidden="1" x14ac:dyDescent="0.2">
      <c r="A30" s="3"/>
      <c r="B30" s="3"/>
      <c r="C30" s="111">
        <f>C21-C26</f>
        <v>106.68155094216181</v>
      </c>
      <c r="D30" s="111">
        <f t="shared" ref="D30:X30" si="2">D21-D26</f>
        <v>90.601731450315526</v>
      </c>
      <c r="E30" s="111">
        <f t="shared" si="2"/>
        <v>94.145398855656282</v>
      </c>
      <c r="F30" s="111">
        <f t="shared" si="2"/>
        <v>55.926741808340751</v>
      </c>
      <c r="G30" s="111">
        <f t="shared" si="2"/>
        <v>63.133626376851851</v>
      </c>
      <c r="H30" s="111">
        <f t="shared" si="2"/>
        <v>100.85034018735857</v>
      </c>
      <c r="I30" s="111">
        <f t="shared" si="2"/>
        <v>92.319268264299211</v>
      </c>
      <c r="J30" s="111">
        <f t="shared" si="2"/>
        <v>40.864579806730205</v>
      </c>
      <c r="K30" s="111">
        <f t="shared" si="2"/>
        <v>68.163756356160093</v>
      </c>
      <c r="L30" s="111">
        <f t="shared" si="2"/>
        <v>104.92830428413282</v>
      </c>
      <c r="M30" s="111">
        <f t="shared" si="2"/>
        <v>87.682831009987353</v>
      </c>
      <c r="N30" s="111">
        <f t="shared" si="2"/>
        <v>72.769890833326059</v>
      </c>
      <c r="O30" s="111">
        <f t="shared" si="2"/>
        <v>59.169818976999181</v>
      </c>
      <c r="P30" s="111">
        <f t="shared" si="2"/>
        <v>103.2638284366289</v>
      </c>
      <c r="Q30" s="111">
        <f t="shared" si="2"/>
        <v>105.59646910476732</v>
      </c>
      <c r="R30" s="111">
        <f t="shared" si="2"/>
        <v>133.70850985308425</v>
      </c>
      <c r="S30" s="111">
        <f t="shared" si="2"/>
        <v>134.70488813008819</v>
      </c>
      <c r="T30" s="111">
        <f t="shared" si="2"/>
        <v>146.25810581244747</v>
      </c>
      <c r="U30" s="111">
        <f t="shared" si="2"/>
        <v>97.086423757394527</v>
      </c>
      <c r="V30" s="111">
        <f t="shared" si="2"/>
        <v>120.19505807447672</v>
      </c>
      <c r="W30" s="111">
        <f t="shared" si="2"/>
        <v>118.54928508261338</v>
      </c>
      <c r="X30" s="111">
        <f t="shared" si="2"/>
        <v>105.98112539032462</v>
      </c>
    </row>
    <row r="31" spans="1:24" hidden="1" x14ac:dyDescent="0.2">
      <c r="A31" s="3"/>
      <c r="B31" s="3"/>
      <c r="C31" s="107">
        <v>-2.4432564392709728</v>
      </c>
      <c r="D31" s="107">
        <v>-10.354753480719836</v>
      </c>
      <c r="E31" s="107">
        <v>-24.975510268103282</v>
      </c>
      <c r="F31" s="107">
        <v>-2.2493471980589907</v>
      </c>
      <c r="G31" s="107">
        <v>-2.5633933277922711</v>
      </c>
      <c r="H31" s="107">
        <v>6.0481893277922687</v>
      </c>
      <c r="I31" s="107">
        <v>4.910204000000002</v>
      </c>
      <c r="J31" s="107">
        <v>20.045000000000002</v>
      </c>
      <c r="K31" s="107">
        <v>12.820936639998799</v>
      </c>
      <c r="L31" s="107">
        <v>6.7889537276765637</v>
      </c>
      <c r="M31" s="107">
        <v>21.44787372752468</v>
      </c>
      <c r="N31" s="107">
        <v>22.804833692962298</v>
      </c>
      <c r="O31" s="107">
        <v>21.227096477908297</v>
      </c>
      <c r="P31" s="107">
        <v>13.020030247987506</v>
      </c>
      <c r="Q31" s="107">
        <v>21.300430964558487</v>
      </c>
      <c r="R31" s="107">
        <v>25.581660966612937</v>
      </c>
      <c r="S31" s="107">
        <v>33.871672580141976</v>
      </c>
      <c r="T31" s="107">
        <v>21.233067458745076</v>
      </c>
      <c r="U31" s="107">
        <v>21.034603500617202</v>
      </c>
      <c r="V31" s="107">
        <v>14.079512036544145</v>
      </c>
      <c r="W31" s="107">
        <v>19.237890043796586</v>
      </c>
      <c r="X31" s="107">
        <v>25.236205048283136</v>
      </c>
    </row>
    <row r="32" spans="1:24" hidden="1" x14ac:dyDescent="0.2">
      <c r="A32" s="3"/>
      <c r="B32" s="3"/>
      <c r="C32" s="111">
        <f>C30-C31</f>
        <v>109.12480738143277</v>
      </c>
      <c r="D32" s="111">
        <f t="shared" ref="D32:X32" si="3">D30-D31</f>
        <v>100.95648493103536</v>
      </c>
      <c r="E32" s="111">
        <f t="shared" si="3"/>
        <v>119.12090912375956</v>
      </c>
      <c r="F32" s="111">
        <f t="shared" si="3"/>
        <v>58.176089006399742</v>
      </c>
      <c r="G32" s="111">
        <f t="shared" si="3"/>
        <v>65.69701970464412</v>
      </c>
      <c r="H32" s="111">
        <f t="shared" si="3"/>
        <v>94.802150859566297</v>
      </c>
      <c r="I32" s="111">
        <f t="shared" si="3"/>
        <v>87.409064264299204</v>
      </c>
      <c r="J32" s="111">
        <f t="shared" si="3"/>
        <v>20.819579806730204</v>
      </c>
      <c r="K32" s="111">
        <f t="shared" si="3"/>
        <v>55.342819716161294</v>
      </c>
      <c r="L32" s="111">
        <f t="shared" si="3"/>
        <v>98.139350556456264</v>
      </c>
      <c r="M32" s="111">
        <f t="shared" si="3"/>
        <v>66.234957282462673</v>
      </c>
      <c r="N32" s="111">
        <f t="shared" si="3"/>
        <v>49.965057140363761</v>
      </c>
      <c r="O32" s="111">
        <f t="shared" si="3"/>
        <v>37.942722499090884</v>
      </c>
      <c r="P32" s="111">
        <f t="shared" si="3"/>
        <v>90.243798188641392</v>
      </c>
      <c r="Q32" s="111">
        <f t="shared" si="3"/>
        <v>84.296038140208836</v>
      </c>
      <c r="R32" s="111">
        <f t="shared" si="3"/>
        <v>108.12684888647132</v>
      </c>
      <c r="S32" s="111">
        <f t="shared" si="3"/>
        <v>100.83321554994622</v>
      </c>
      <c r="T32" s="111">
        <f t="shared" si="3"/>
        <v>125.0250383537024</v>
      </c>
      <c r="U32" s="111">
        <f t="shared" si="3"/>
        <v>76.051820256777319</v>
      </c>
      <c r="V32" s="111">
        <f t="shared" si="3"/>
        <v>106.11554603793257</v>
      </c>
      <c r="W32" s="111">
        <f t="shared" si="3"/>
        <v>99.311395038816798</v>
      </c>
      <c r="X32" s="111">
        <f t="shared" si="3"/>
        <v>80.744920342041482</v>
      </c>
    </row>
    <row r="33" spans="1:24" hidden="1" x14ac:dyDescent="0.2"/>
    <row r="34" spans="1:24" hidden="1" x14ac:dyDescent="0.2">
      <c r="A34" s="110"/>
      <c r="B34" s="110" t="s">
        <v>580</v>
      </c>
      <c r="C34" s="111">
        <f>SUM(C35:C38)</f>
        <v>319.69999999999993</v>
      </c>
      <c r="D34" s="111">
        <f t="shared" ref="D34:X34" si="4">SUM(D35:D38)</f>
        <v>309.10000000000002</v>
      </c>
      <c r="E34" s="111">
        <f t="shared" si="4"/>
        <v>320.30000000000007</v>
      </c>
      <c r="F34" s="111">
        <f t="shared" si="4"/>
        <v>280.39999999999998</v>
      </c>
      <c r="G34" s="111">
        <f t="shared" si="4"/>
        <v>297.10000000000008</v>
      </c>
      <c r="H34" s="111">
        <f t="shared" si="4"/>
        <v>352</v>
      </c>
      <c r="I34" s="111">
        <f t="shared" si="4"/>
        <v>342.5</v>
      </c>
      <c r="J34" s="111">
        <f t="shared" si="4"/>
        <v>269.09999999999997</v>
      </c>
      <c r="K34" s="111">
        <f t="shared" si="4"/>
        <v>297.40000000000003</v>
      </c>
      <c r="L34" s="111">
        <f t="shared" si="4"/>
        <v>353</v>
      </c>
      <c r="M34" s="111">
        <f t="shared" si="4"/>
        <v>340.19999999999993</v>
      </c>
      <c r="N34" s="111">
        <f t="shared" si="4"/>
        <v>305.90000000000003</v>
      </c>
      <c r="O34" s="111">
        <f t="shared" si="4"/>
        <v>307.7</v>
      </c>
      <c r="P34" s="111">
        <f t="shared" si="4"/>
        <v>359.99999999999994</v>
      </c>
      <c r="Q34" s="111">
        <f t="shared" si="4"/>
        <v>369.5</v>
      </c>
      <c r="R34" s="111">
        <f t="shared" si="4"/>
        <v>385.59999999999997</v>
      </c>
      <c r="S34" s="111">
        <f t="shared" si="4"/>
        <v>386.4</v>
      </c>
      <c r="T34" s="111">
        <f t="shared" si="4"/>
        <v>398.6</v>
      </c>
      <c r="U34" s="111">
        <f t="shared" si="4"/>
        <v>378</v>
      </c>
      <c r="V34" s="111">
        <f t="shared" si="4"/>
        <v>375.3</v>
      </c>
      <c r="W34" s="111">
        <f t="shared" si="4"/>
        <v>399.8</v>
      </c>
      <c r="X34" s="111">
        <f t="shared" si="4"/>
        <v>384.8</v>
      </c>
    </row>
    <row r="35" spans="1:24" hidden="1" x14ac:dyDescent="0.2">
      <c r="C35" s="107">
        <f>ROUND(C22,1)</f>
        <v>138</v>
      </c>
      <c r="D35" s="107">
        <f t="shared" ref="D35:X38" si="5">ROUND(D22,1)</f>
        <v>144.30000000000001</v>
      </c>
      <c r="E35" s="107">
        <f t="shared" si="5"/>
        <v>148.80000000000001</v>
      </c>
      <c r="F35" s="107">
        <f t="shared" si="5"/>
        <v>153.80000000000001</v>
      </c>
      <c r="G35" s="107">
        <f t="shared" si="5"/>
        <v>154.30000000000001</v>
      </c>
      <c r="H35" s="107">
        <f t="shared" si="5"/>
        <v>146</v>
      </c>
      <c r="I35" s="107">
        <f t="shared" si="5"/>
        <v>170.6</v>
      </c>
      <c r="J35" s="107">
        <f t="shared" si="5"/>
        <v>112</v>
      </c>
      <c r="K35" s="107">
        <f t="shared" si="5"/>
        <v>123</v>
      </c>
      <c r="L35" s="107">
        <f t="shared" si="5"/>
        <v>213</v>
      </c>
      <c r="M35" s="107">
        <f t="shared" si="5"/>
        <v>153.1</v>
      </c>
      <c r="N35" s="107">
        <f t="shared" si="5"/>
        <v>153</v>
      </c>
      <c r="O35" s="107">
        <f t="shared" si="5"/>
        <v>178</v>
      </c>
      <c r="P35" s="107">
        <f t="shared" si="5"/>
        <v>202.2</v>
      </c>
      <c r="Q35" s="107">
        <f t="shared" si="5"/>
        <v>199.1</v>
      </c>
      <c r="R35" s="107">
        <f t="shared" si="5"/>
        <v>236.5</v>
      </c>
      <c r="S35" s="107">
        <f t="shared" si="5"/>
        <v>238.3</v>
      </c>
      <c r="T35" s="107">
        <f t="shared" si="5"/>
        <v>245.8</v>
      </c>
      <c r="U35" s="107">
        <f t="shared" si="5"/>
        <v>227.5</v>
      </c>
      <c r="V35" s="107">
        <f t="shared" si="5"/>
        <v>244.5</v>
      </c>
      <c r="W35" s="107">
        <f t="shared" si="5"/>
        <v>250.8</v>
      </c>
      <c r="X35" s="107">
        <f t="shared" si="5"/>
        <v>248.4</v>
      </c>
    </row>
    <row r="36" spans="1:24" hidden="1" x14ac:dyDescent="0.2">
      <c r="C36" s="107">
        <f t="shared" ref="C36:R38" si="6">ROUND(C23,1)</f>
        <v>129.9</v>
      </c>
      <c r="D36" s="107">
        <f t="shared" si="6"/>
        <v>136.30000000000001</v>
      </c>
      <c r="E36" s="107">
        <f t="shared" si="6"/>
        <v>134.80000000000001</v>
      </c>
      <c r="F36" s="107">
        <f t="shared" si="6"/>
        <v>124.2</v>
      </c>
      <c r="G36" s="107">
        <f t="shared" si="6"/>
        <v>123.9</v>
      </c>
      <c r="H36" s="107">
        <f t="shared" si="6"/>
        <v>145.80000000000001</v>
      </c>
      <c r="I36" s="107">
        <f t="shared" si="6"/>
        <v>140.4</v>
      </c>
      <c r="J36" s="107">
        <f t="shared" si="6"/>
        <v>189</v>
      </c>
      <c r="K36" s="107">
        <f t="shared" si="6"/>
        <v>145.80000000000001</v>
      </c>
      <c r="L36" s="107">
        <f t="shared" si="6"/>
        <v>148.6</v>
      </c>
      <c r="M36" s="107">
        <f t="shared" si="6"/>
        <v>158.80000000000001</v>
      </c>
      <c r="N36" s="107">
        <f t="shared" si="6"/>
        <v>87.4</v>
      </c>
      <c r="O36" s="107">
        <f t="shared" si="6"/>
        <v>116.2</v>
      </c>
      <c r="P36" s="107">
        <f t="shared" si="6"/>
        <v>158.1</v>
      </c>
      <c r="Q36" s="107">
        <f t="shared" si="6"/>
        <v>159.80000000000001</v>
      </c>
      <c r="R36" s="107">
        <f t="shared" si="6"/>
        <v>95.4</v>
      </c>
      <c r="S36" s="107">
        <f t="shared" si="5"/>
        <v>128</v>
      </c>
      <c r="T36" s="107">
        <f t="shared" si="5"/>
        <v>124.5</v>
      </c>
      <c r="U36" s="107">
        <f t="shared" si="5"/>
        <v>153.30000000000001</v>
      </c>
      <c r="V36" s="107">
        <f t="shared" si="5"/>
        <v>86.7</v>
      </c>
      <c r="W36" s="107">
        <f t="shared" si="5"/>
        <v>114.6</v>
      </c>
      <c r="X36" s="107">
        <f t="shared" si="5"/>
        <v>111.9</v>
      </c>
    </row>
    <row r="37" spans="1:24" hidden="1" x14ac:dyDescent="0.2">
      <c r="C37" s="107">
        <f t="shared" si="6"/>
        <v>39.4</v>
      </c>
      <c r="D37" s="107">
        <f t="shared" si="5"/>
        <v>17.600000000000001</v>
      </c>
      <c r="E37" s="107">
        <f t="shared" si="5"/>
        <v>27.1</v>
      </c>
      <c r="F37" s="107">
        <f t="shared" si="5"/>
        <v>-8.3000000000000007</v>
      </c>
      <c r="G37" s="107">
        <f t="shared" si="5"/>
        <v>7.3</v>
      </c>
      <c r="H37" s="107">
        <f t="shared" si="5"/>
        <v>46</v>
      </c>
      <c r="I37" s="107">
        <f t="shared" si="5"/>
        <v>18.5</v>
      </c>
      <c r="J37" s="107">
        <f t="shared" si="5"/>
        <v>-41.3</v>
      </c>
      <c r="K37" s="107">
        <f t="shared" si="5"/>
        <v>18.5</v>
      </c>
      <c r="L37" s="107">
        <f t="shared" si="5"/>
        <v>-24.1</v>
      </c>
      <c r="M37" s="107">
        <f t="shared" si="5"/>
        <v>17.899999999999999</v>
      </c>
      <c r="N37" s="107">
        <f t="shared" si="5"/>
        <v>49.4</v>
      </c>
      <c r="O37" s="107">
        <f t="shared" si="5"/>
        <v>6.2</v>
      </c>
      <c r="P37" s="107">
        <f t="shared" si="5"/>
        <v>-11.2</v>
      </c>
      <c r="Q37" s="107">
        <f t="shared" si="5"/>
        <v>0</v>
      </c>
      <c r="R37" s="107">
        <f t="shared" si="5"/>
        <v>41.3</v>
      </c>
      <c r="S37" s="107">
        <f t="shared" si="5"/>
        <v>10.4</v>
      </c>
      <c r="T37" s="107">
        <f t="shared" si="5"/>
        <v>15.1</v>
      </c>
      <c r="U37" s="107">
        <f t="shared" si="5"/>
        <v>-11</v>
      </c>
      <c r="V37" s="107">
        <f t="shared" si="5"/>
        <v>34</v>
      </c>
      <c r="W37" s="107">
        <f t="shared" si="5"/>
        <v>27.6</v>
      </c>
      <c r="X37" s="107">
        <f t="shared" si="5"/>
        <v>13.3</v>
      </c>
    </row>
    <row r="38" spans="1:24" hidden="1" x14ac:dyDescent="0.2">
      <c r="C38" s="107">
        <f t="shared" si="6"/>
        <v>12.4</v>
      </c>
      <c r="D38" s="107">
        <f t="shared" si="5"/>
        <v>10.9</v>
      </c>
      <c r="E38" s="107">
        <f t="shared" si="5"/>
        <v>9.6</v>
      </c>
      <c r="F38" s="107">
        <f t="shared" si="5"/>
        <v>10.7</v>
      </c>
      <c r="G38" s="107">
        <f t="shared" si="5"/>
        <v>11.6</v>
      </c>
      <c r="H38" s="107">
        <f t="shared" si="5"/>
        <v>14.2</v>
      </c>
      <c r="I38" s="107">
        <f t="shared" si="5"/>
        <v>13</v>
      </c>
      <c r="J38" s="107">
        <f t="shared" si="5"/>
        <v>9.4</v>
      </c>
      <c r="K38" s="107">
        <f t="shared" si="5"/>
        <v>10.1</v>
      </c>
      <c r="L38" s="107">
        <f t="shared" si="5"/>
        <v>15.5</v>
      </c>
      <c r="M38" s="107">
        <f t="shared" si="5"/>
        <v>10.4</v>
      </c>
      <c r="N38" s="107">
        <f t="shared" si="5"/>
        <v>16.100000000000001</v>
      </c>
      <c r="O38" s="107">
        <f t="shared" si="5"/>
        <v>7.3</v>
      </c>
      <c r="P38" s="107">
        <f t="shared" si="5"/>
        <v>10.9</v>
      </c>
      <c r="Q38" s="107">
        <f t="shared" si="5"/>
        <v>10.6</v>
      </c>
      <c r="R38" s="107">
        <f t="shared" si="5"/>
        <v>12.4</v>
      </c>
      <c r="S38" s="107">
        <f t="shared" si="5"/>
        <v>9.6999999999999993</v>
      </c>
      <c r="T38" s="107">
        <f t="shared" si="5"/>
        <v>13.2</v>
      </c>
      <c r="U38" s="107">
        <f t="shared" si="5"/>
        <v>8.1999999999999993</v>
      </c>
      <c r="V38" s="107">
        <f t="shared" si="5"/>
        <v>10.1</v>
      </c>
      <c r="W38" s="107">
        <f t="shared" si="5"/>
        <v>6.8</v>
      </c>
      <c r="X38" s="107">
        <f t="shared" si="5"/>
        <v>11.2</v>
      </c>
    </row>
    <row r="39" spans="1:24" hidden="1" x14ac:dyDescent="0.2">
      <c r="C39" s="111">
        <f>SUM(C40:C42)</f>
        <v>213</v>
      </c>
      <c r="D39" s="111">
        <f t="shared" ref="D39:X39" si="7">SUM(D40:D42)</f>
        <v>218.4</v>
      </c>
      <c r="E39" s="111">
        <f t="shared" si="7"/>
        <v>226.10000000000002</v>
      </c>
      <c r="F39" s="111">
        <f t="shared" si="7"/>
        <v>224.5</v>
      </c>
      <c r="G39" s="111">
        <f t="shared" si="7"/>
        <v>234</v>
      </c>
      <c r="H39" s="111">
        <f t="shared" si="7"/>
        <v>251.2</v>
      </c>
      <c r="I39" s="111">
        <f t="shared" si="7"/>
        <v>250.10000000000002</v>
      </c>
      <c r="J39" s="111">
        <f t="shared" si="7"/>
        <v>228.20000000000002</v>
      </c>
      <c r="K39" s="111">
        <f t="shared" si="7"/>
        <v>229.3</v>
      </c>
      <c r="L39" s="111">
        <f t="shared" si="7"/>
        <v>248.2</v>
      </c>
      <c r="M39" s="111">
        <f t="shared" si="7"/>
        <v>252.4</v>
      </c>
      <c r="N39" s="111">
        <f t="shared" si="7"/>
        <v>233.2</v>
      </c>
      <c r="O39" s="111">
        <f t="shared" si="7"/>
        <v>248.4</v>
      </c>
      <c r="P39" s="111">
        <f t="shared" si="7"/>
        <v>256.70000000000005</v>
      </c>
      <c r="Q39" s="111">
        <f t="shared" si="7"/>
        <v>263.8</v>
      </c>
      <c r="R39" s="111">
        <f t="shared" si="7"/>
        <v>251.9</v>
      </c>
      <c r="S39" s="111">
        <f t="shared" si="7"/>
        <v>251.70000000000002</v>
      </c>
      <c r="T39" s="111">
        <f t="shared" si="7"/>
        <v>252.3</v>
      </c>
      <c r="U39" s="111">
        <f t="shared" si="7"/>
        <v>280.89999999999998</v>
      </c>
      <c r="V39" s="111">
        <f t="shared" si="7"/>
        <v>255.2</v>
      </c>
      <c r="W39" s="111">
        <f t="shared" si="7"/>
        <v>281.2</v>
      </c>
      <c r="X39" s="111">
        <f t="shared" si="7"/>
        <v>278.8</v>
      </c>
    </row>
    <row r="40" spans="1:24" hidden="1" x14ac:dyDescent="0.2">
      <c r="A40" s="3"/>
      <c r="B40" s="3"/>
      <c r="C40" s="107">
        <f t="shared" ref="C40:X44" si="8">ROUND(C27,1)</f>
        <v>98.3</v>
      </c>
      <c r="D40" s="107">
        <f t="shared" si="8"/>
        <v>106.9</v>
      </c>
      <c r="E40" s="107">
        <f t="shared" si="8"/>
        <v>110.9</v>
      </c>
      <c r="F40" s="107">
        <f t="shared" si="8"/>
        <v>123.5</v>
      </c>
      <c r="G40" s="107">
        <f t="shared" si="8"/>
        <v>111.2</v>
      </c>
      <c r="H40" s="107">
        <f t="shared" si="8"/>
        <v>112.5</v>
      </c>
      <c r="I40" s="107">
        <f t="shared" si="8"/>
        <v>129</v>
      </c>
      <c r="J40" s="107">
        <f t="shared" si="8"/>
        <v>122.2</v>
      </c>
      <c r="K40" s="107">
        <f t="shared" si="8"/>
        <v>98.4</v>
      </c>
      <c r="L40" s="107">
        <f t="shared" si="8"/>
        <v>108.8</v>
      </c>
      <c r="M40" s="107">
        <f t="shared" si="8"/>
        <v>110.5</v>
      </c>
      <c r="N40" s="107">
        <f t="shared" si="8"/>
        <v>121.1</v>
      </c>
      <c r="O40" s="107">
        <f t="shared" si="8"/>
        <v>109.7</v>
      </c>
      <c r="P40" s="107">
        <f t="shared" si="8"/>
        <v>113.8</v>
      </c>
      <c r="Q40" s="107">
        <f t="shared" si="8"/>
        <v>123.4</v>
      </c>
      <c r="R40" s="107">
        <f t="shared" si="8"/>
        <v>151.19999999999999</v>
      </c>
      <c r="S40" s="107">
        <f t="shared" si="8"/>
        <v>121</v>
      </c>
      <c r="T40" s="107">
        <f t="shared" si="8"/>
        <v>117.2</v>
      </c>
      <c r="U40" s="107">
        <f t="shared" si="8"/>
        <v>138.19999999999999</v>
      </c>
      <c r="V40" s="107">
        <f t="shared" si="8"/>
        <v>124.1</v>
      </c>
      <c r="W40" s="107">
        <f t="shared" si="8"/>
        <v>128.69999999999999</v>
      </c>
      <c r="X40" s="107">
        <f t="shared" si="8"/>
        <v>126.5</v>
      </c>
    </row>
    <row r="41" spans="1:24" hidden="1" x14ac:dyDescent="0.2">
      <c r="A41" s="3"/>
      <c r="B41" s="3"/>
      <c r="C41" s="107">
        <f t="shared" si="8"/>
        <v>22</v>
      </c>
      <c r="D41" s="107">
        <f t="shared" si="8"/>
        <v>23</v>
      </c>
      <c r="E41" s="107">
        <f t="shared" si="8"/>
        <v>22.3</v>
      </c>
      <c r="F41" s="107">
        <f t="shared" si="8"/>
        <v>31.2</v>
      </c>
      <c r="G41" s="107">
        <f t="shared" si="8"/>
        <v>25</v>
      </c>
      <c r="H41" s="107">
        <f t="shared" si="8"/>
        <v>25.6</v>
      </c>
      <c r="I41" s="107">
        <f t="shared" si="8"/>
        <v>24.8</v>
      </c>
      <c r="J41" s="107">
        <f t="shared" si="8"/>
        <v>24.1</v>
      </c>
      <c r="K41" s="107">
        <f t="shared" si="8"/>
        <v>23.3</v>
      </c>
      <c r="L41" s="107">
        <f t="shared" si="8"/>
        <v>24.3</v>
      </c>
      <c r="M41" s="107">
        <f t="shared" si="8"/>
        <v>23.4</v>
      </c>
      <c r="N41" s="107">
        <f t="shared" si="8"/>
        <v>23.5</v>
      </c>
      <c r="O41" s="107">
        <f t="shared" si="8"/>
        <v>21.6</v>
      </c>
      <c r="P41" s="107">
        <f t="shared" si="8"/>
        <v>22</v>
      </c>
      <c r="Q41" s="107">
        <f t="shared" si="8"/>
        <v>22.2</v>
      </c>
      <c r="R41" s="107">
        <f t="shared" si="8"/>
        <v>23.8</v>
      </c>
      <c r="S41" s="107">
        <f t="shared" si="8"/>
        <v>21.8</v>
      </c>
      <c r="T41" s="107">
        <f t="shared" si="8"/>
        <v>22.1</v>
      </c>
      <c r="U41" s="107">
        <f t="shared" si="8"/>
        <v>24.5</v>
      </c>
      <c r="V41" s="107">
        <f t="shared" si="8"/>
        <v>25</v>
      </c>
      <c r="W41" s="107">
        <f t="shared" si="8"/>
        <v>24</v>
      </c>
      <c r="X41" s="107">
        <f t="shared" si="8"/>
        <v>25</v>
      </c>
    </row>
    <row r="42" spans="1:24" hidden="1" x14ac:dyDescent="0.2">
      <c r="A42" s="3"/>
      <c r="B42" s="3"/>
      <c r="C42" s="107">
        <f t="shared" si="8"/>
        <v>92.7</v>
      </c>
      <c r="D42" s="107">
        <f t="shared" si="8"/>
        <v>88.5</v>
      </c>
      <c r="E42" s="107">
        <f t="shared" si="8"/>
        <v>92.9</v>
      </c>
      <c r="F42" s="107">
        <f t="shared" si="8"/>
        <v>69.8</v>
      </c>
      <c r="G42" s="107">
        <f t="shared" si="8"/>
        <v>97.8</v>
      </c>
      <c r="H42" s="107">
        <f t="shared" si="8"/>
        <v>113.1</v>
      </c>
      <c r="I42" s="107">
        <f t="shared" si="8"/>
        <v>96.3</v>
      </c>
      <c r="J42" s="112">
        <f>ROUND(J29,1)-0.1</f>
        <v>81.900000000000006</v>
      </c>
      <c r="K42" s="107">
        <f t="shared" si="8"/>
        <v>107.6</v>
      </c>
      <c r="L42" s="107">
        <f t="shared" si="8"/>
        <v>115.1</v>
      </c>
      <c r="M42" s="107">
        <f t="shared" si="8"/>
        <v>118.5</v>
      </c>
      <c r="N42" s="107">
        <f t="shared" si="8"/>
        <v>88.6</v>
      </c>
      <c r="O42" s="107">
        <f t="shared" si="8"/>
        <v>117.1</v>
      </c>
      <c r="P42" s="107">
        <f t="shared" si="8"/>
        <v>120.9</v>
      </c>
      <c r="Q42" s="107">
        <f t="shared" si="8"/>
        <v>118.2</v>
      </c>
      <c r="R42" s="107">
        <f t="shared" si="8"/>
        <v>76.900000000000006</v>
      </c>
      <c r="S42" s="107">
        <f t="shared" si="8"/>
        <v>108.9</v>
      </c>
      <c r="T42" s="107">
        <f t="shared" si="8"/>
        <v>113</v>
      </c>
      <c r="U42" s="107">
        <f t="shared" si="8"/>
        <v>118.2</v>
      </c>
      <c r="V42" s="107">
        <f t="shared" si="8"/>
        <v>106.1</v>
      </c>
      <c r="W42" s="107">
        <f t="shared" si="8"/>
        <v>128.5</v>
      </c>
      <c r="X42" s="107">
        <f t="shared" si="8"/>
        <v>127.3</v>
      </c>
    </row>
    <row r="43" spans="1:24" hidden="1" x14ac:dyDescent="0.2">
      <c r="A43" s="3"/>
      <c r="B43" s="3"/>
      <c r="C43" s="111">
        <f>C34-C39</f>
        <v>106.69999999999993</v>
      </c>
      <c r="D43" s="111">
        <f t="shared" ref="D43:X43" si="9">D34-D39</f>
        <v>90.700000000000017</v>
      </c>
      <c r="E43" s="111">
        <f t="shared" si="9"/>
        <v>94.200000000000045</v>
      </c>
      <c r="F43" s="111">
        <f t="shared" si="9"/>
        <v>55.899999999999977</v>
      </c>
      <c r="G43" s="111">
        <f t="shared" si="9"/>
        <v>63.10000000000008</v>
      </c>
      <c r="H43" s="111">
        <f t="shared" si="9"/>
        <v>100.80000000000001</v>
      </c>
      <c r="I43" s="111">
        <f t="shared" si="9"/>
        <v>92.399999999999977</v>
      </c>
      <c r="J43" s="111">
        <f t="shared" si="9"/>
        <v>40.899999999999949</v>
      </c>
      <c r="K43" s="111">
        <f t="shared" si="9"/>
        <v>68.100000000000023</v>
      </c>
      <c r="L43" s="111">
        <f t="shared" si="9"/>
        <v>104.80000000000001</v>
      </c>
      <c r="M43" s="111">
        <f t="shared" si="9"/>
        <v>87.799999999999926</v>
      </c>
      <c r="N43" s="111">
        <f t="shared" si="9"/>
        <v>72.700000000000045</v>
      </c>
      <c r="O43" s="111">
        <f t="shared" si="9"/>
        <v>59.299999999999983</v>
      </c>
      <c r="P43" s="111">
        <f t="shared" si="9"/>
        <v>103.2999999999999</v>
      </c>
      <c r="Q43" s="111">
        <f t="shared" si="9"/>
        <v>105.69999999999999</v>
      </c>
      <c r="R43" s="111">
        <f t="shared" si="9"/>
        <v>133.69999999999996</v>
      </c>
      <c r="S43" s="111">
        <f t="shared" si="9"/>
        <v>134.69999999999996</v>
      </c>
      <c r="T43" s="111">
        <f t="shared" si="9"/>
        <v>146.30000000000001</v>
      </c>
      <c r="U43" s="111">
        <f t="shared" si="9"/>
        <v>97.100000000000023</v>
      </c>
      <c r="V43" s="111">
        <f t="shared" si="9"/>
        <v>120.10000000000002</v>
      </c>
      <c r="W43" s="111">
        <f t="shared" si="9"/>
        <v>118.60000000000002</v>
      </c>
      <c r="X43" s="111">
        <f t="shared" si="9"/>
        <v>106</v>
      </c>
    </row>
    <row r="44" spans="1:24" hidden="1" x14ac:dyDescent="0.2">
      <c r="A44" s="3"/>
      <c r="B44" s="3"/>
      <c r="C44" s="107">
        <f t="shared" si="8"/>
        <v>-2.4</v>
      </c>
      <c r="D44" s="107">
        <f t="shared" si="8"/>
        <v>-10.4</v>
      </c>
      <c r="E44" s="107">
        <f t="shared" si="8"/>
        <v>-25</v>
      </c>
      <c r="F44" s="107">
        <f t="shared" si="8"/>
        <v>-2.2000000000000002</v>
      </c>
      <c r="G44" s="107">
        <f t="shared" si="8"/>
        <v>-2.6</v>
      </c>
      <c r="H44" s="107">
        <f t="shared" si="8"/>
        <v>6</v>
      </c>
      <c r="I44" s="107">
        <f t="shared" si="8"/>
        <v>4.9000000000000004</v>
      </c>
      <c r="J44" s="112">
        <f>ROUND(J31,1)+0.1</f>
        <v>20.100000000000001</v>
      </c>
      <c r="K44" s="107">
        <f t="shared" si="8"/>
        <v>12.8</v>
      </c>
      <c r="L44" s="107">
        <f t="shared" si="8"/>
        <v>6.8</v>
      </c>
      <c r="M44" s="107">
        <f t="shared" si="8"/>
        <v>21.4</v>
      </c>
      <c r="N44" s="107">
        <f t="shared" si="8"/>
        <v>22.8</v>
      </c>
      <c r="O44" s="107">
        <f t="shared" si="8"/>
        <v>21.2</v>
      </c>
      <c r="P44" s="107">
        <f t="shared" si="8"/>
        <v>13</v>
      </c>
      <c r="Q44" s="107">
        <f t="shared" si="8"/>
        <v>21.3</v>
      </c>
      <c r="R44" s="107">
        <f t="shared" si="8"/>
        <v>25.6</v>
      </c>
      <c r="S44" s="107">
        <f t="shared" si="8"/>
        <v>33.9</v>
      </c>
      <c r="T44" s="107">
        <f t="shared" si="8"/>
        <v>21.2</v>
      </c>
      <c r="U44" s="107">
        <f t="shared" si="8"/>
        <v>21</v>
      </c>
      <c r="V44" s="107">
        <f t="shared" si="8"/>
        <v>14.1</v>
      </c>
      <c r="W44" s="112">
        <f>ROUND(W31,1)+0.1</f>
        <v>19.3</v>
      </c>
      <c r="X44" s="107">
        <f t="shared" si="8"/>
        <v>25.2</v>
      </c>
    </row>
    <row r="45" spans="1:24" hidden="1" x14ac:dyDescent="0.2">
      <c r="A45" s="3"/>
      <c r="B45" s="3"/>
      <c r="C45" s="111">
        <f>C43-C44</f>
        <v>109.09999999999994</v>
      </c>
      <c r="D45" s="111">
        <f t="shared" ref="D45:X45" si="10">D43-D44</f>
        <v>101.10000000000002</v>
      </c>
      <c r="E45" s="111">
        <f t="shared" si="10"/>
        <v>119.20000000000005</v>
      </c>
      <c r="F45" s="111">
        <f t="shared" si="10"/>
        <v>58.09999999999998</v>
      </c>
      <c r="G45" s="111">
        <f t="shared" si="10"/>
        <v>65.700000000000074</v>
      </c>
      <c r="H45" s="111">
        <f t="shared" si="10"/>
        <v>94.800000000000011</v>
      </c>
      <c r="I45" s="111">
        <f t="shared" si="10"/>
        <v>87.499999999999972</v>
      </c>
      <c r="J45" s="111">
        <f t="shared" si="10"/>
        <v>20.799999999999947</v>
      </c>
      <c r="K45" s="111">
        <f t="shared" si="10"/>
        <v>55.300000000000026</v>
      </c>
      <c r="L45" s="111">
        <f t="shared" si="10"/>
        <v>98.000000000000014</v>
      </c>
      <c r="M45" s="111">
        <f t="shared" si="10"/>
        <v>66.39999999999992</v>
      </c>
      <c r="N45" s="111">
        <f t="shared" si="10"/>
        <v>49.900000000000048</v>
      </c>
      <c r="O45" s="111">
        <f t="shared" si="10"/>
        <v>38.09999999999998</v>
      </c>
      <c r="P45" s="111">
        <f t="shared" si="10"/>
        <v>90.299999999999898</v>
      </c>
      <c r="Q45" s="111">
        <f t="shared" si="10"/>
        <v>84.399999999999991</v>
      </c>
      <c r="R45" s="111">
        <f t="shared" si="10"/>
        <v>108.09999999999997</v>
      </c>
      <c r="S45" s="111">
        <f t="shared" si="10"/>
        <v>100.79999999999995</v>
      </c>
      <c r="T45" s="111">
        <f t="shared" si="10"/>
        <v>125.10000000000001</v>
      </c>
      <c r="U45" s="111">
        <f t="shared" si="10"/>
        <v>76.100000000000023</v>
      </c>
      <c r="V45" s="111">
        <f t="shared" si="10"/>
        <v>106.00000000000003</v>
      </c>
      <c r="W45" s="111">
        <f t="shared" si="10"/>
        <v>99.300000000000026</v>
      </c>
      <c r="X45" s="111">
        <f t="shared" si="10"/>
        <v>80.8</v>
      </c>
    </row>
    <row r="46" spans="1:24" x14ac:dyDescent="0.2">
      <c r="A46" s="3"/>
      <c r="B46" s="3"/>
    </row>
    <row r="47" spans="1:24" x14ac:dyDescent="0.2">
      <c r="A47" s="3"/>
      <c r="B47" s="3"/>
    </row>
    <row r="48" spans="1:24"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79"/>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activeCell="B1" sqref="B1:B1048576"/>
    </sheetView>
  </sheetViews>
  <sheetFormatPr defaultColWidth="8.85546875" defaultRowHeight="12.75" outlineLevelCol="1" x14ac:dyDescent="0.2"/>
  <cols>
    <col min="1" max="1" customWidth="true" style="2" width="50.42578125" collapsed="true"/>
    <col min="2" max="2" customWidth="true" hidden="true" style="2" width="50.7109375" collapsed="true" outlineLevel="1"/>
    <col min="3" max="3" bestFit="true" customWidth="true" style="3" width="5.5703125" collapsed="true"/>
    <col min="4" max="9" bestFit="true" customWidth="true" style="3" width="5.5703125" collapsed="true"/>
    <col min="10" max="10" bestFit="true" customWidth="true" style="3" width="6.140625" collapsed="true"/>
    <col min="11" max="24" bestFit="true" customWidth="true" style="3" width="5.5703125" collapsed="true"/>
    <col min="25" max="16384" style="3" width="8.85546875" collapsed="true"/>
  </cols>
  <sheetData>
    <row r="2" spans="1:25" x14ac:dyDescent="0.2">
      <c r="A2" s="385" t="s">
        <v>721</v>
      </c>
      <c r="B2" s="385" t="s">
        <v>65</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5" s="4" customFormat="1" ht="34.15" customHeigh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c r="Y3" s="30"/>
    </row>
    <row r="4" spans="1:25" s="4" customFormat="1" ht="12.75" customHeight="1" x14ac:dyDescent="0.2">
      <c r="A4" s="21" t="s">
        <v>258</v>
      </c>
      <c r="B4" s="21" t="s">
        <v>15</v>
      </c>
      <c r="C4" s="17"/>
      <c r="D4" s="6"/>
      <c r="E4" s="6"/>
      <c r="F4" s="6"/>
      <c r="G4" s="17"/>
      <c r="H4" s="6"/>
      <c r="I4" s="6"/>
      <c r="J4" s="19"/>
      <c r="K4" s="17"/>
      <c r="L4" s="6"/>
      <c r="M4" s="6"/>
      <c r="N4" s="19"/>
      <c r="O4" s="17"/>
      <c r="P4" s="6"/>
      <c r="Q4" s="6"/>
      <c r="R4" s="19"/>
      <c r="S4" s="17"/>
      <c r="T4" s="6"/>
      <c r="U4" s="6"/>
      <c r="V4" s="19"/>
      <c r="W4" s="6"/>
      <c r="X4" s="6"/>
    </row>
    <row r="5" spans="1:25" s="8" customFormat="1" x14ac:dyDescent="0.2">
      <c r="A5" s="40" t="s">
        <v>278</v>
      </c>
      <c r="B5" s="40" t="s">
        <v>62</v>
      </c>
      <c r="C5" s="49">
        <f t="shared" ref="C5:X5" si="0">SUM(C6:C9)</f>
        <v>218.5</v>
      </c>
      <c r="D5" s="50">
        <f t="shared" si="0"/>
        <v>212.1</v>
      </c>
      <c r="E5" s="50">
        <f t="shared" si="0"/>
        <v>221</v>
      </c>
      <c r="F5" s="50">
        <f t="shared" si="0"/>
        <v>191.79999999999998</v>
      </c>
      <c r="G5" s="49">
        <f t="shared" si="0"/>
        <v>284.39999999999998</v>
      </c>
      <c r="H5" s="50">
        <f t="shared" si="0"/>
        <v>272.5</v>
      </c>
      <c r="I5" s="50">
        <f t="shared" si="0"/>
        <v>276.5</v>
      </c>
      <c r="J5" s="51">
        <f t="shared" si="0"/>
        <v>33.599999999999966</v>
      </c>
      <c r="K5" s="49">
        <f t="shared" si="0"/>
        <v>259.90000000000003</v>
      </c>
      <c r="L5" s="50">
        <f t="shared" si="0"/>
        <v>332</v>
      </c>
      <c r="M5" s="50">
        <f t="shared" si="0"/>
        <v>364.1</v>
      </c>
      <c r="N5" s="51">
        <f t="shared" si="0"/>
        <v>279.7</v>
      </c>
      <c r="O5" s="49">
        <f t="shared" si="0"/>
        <v>350.4</v>
      </c>
      <c r="P5" s="50">
        <f t="shared" si="0"/>
        <v>318.59999999999997</v>
      </c>
      <c r="Q5" s="50">
        <f t="shared" si="0"/>
        <v>330.7</v>
      </c>
      <c r="R5" s="51">
        <f t="shared" si="0"/>
        <v>309.10000000000002</v>
      </c>
      <c r="S5" s="49">
        <f t="shared" si="0"/>
        <v>346.1</v>
      </c>
      <c r="T5" s="50">
        <f t="shared" si="0"/>
        <v>351.8</v>
      </c>
      <c r="U5" s="50">
        <f t="shared" si="0"/>
        <v>347.7</v>
      </c>
      <c r="V5" s="51">
        <f t="shared" si="0"/>
        <v>369.7</v>
      </c>
      <c r="W5" s="50">
        <f t="shared" si="0"/>
        <v>446</v>
      </c>
      <c r="X5" s="50">
        <f t="shared" si="0"/>
        <v>407.7</v>
      </c>
    </row>
    <row r="6" spans="1:25" s="4" customFormat="1" x14ac:dyDescent="0.2">
      <c r="A6" s="97" t="s">
        <v>261</v>
      </c>
      <c r="B6" s="97" t="s">
        <v>569</v>
      </c>
      <c r="C6" s="42">
        <v>98.1</v>
      </c>
      <c r="D6" s="43">
        <v>102.6</v>
      </c>
      <c r="E6" s="43">
        <v>105.8</v>
      </c>
      <c r="F6" s="43">
        <v>109.4</v>
      </c>
      <c r="G6" s="42">
        <v>129.1</v>
      </c>
      <c r="H6" s="43">
        <v>169.8</v>
      </c>
      <c r="I6" s="43">
        <v>150.30000000000001</v>
      </c>
      <c r="J6" s="44">
        <v>220.5</v>
      </c>
      <c r="K6" s="42">
        <v>188.1</v>
      </c>
      <c r="L6" s="43">
        <v>146</v>
      </c>
      <c r="M6" s="43">
        <v>224.9</v>
      </c>
      <c r="N6" s="44">
        <v>201.4</v>
      </c>
      <c r="O6" s="42">
        <v>212.4</v>
      </c>
      <c r="P6" s="43">
        <v>203.1</v>
      </c>
      <c r="Q6" s="43">
        <v>211.1</v>
      </c>
      <c r="R6" s="44">
        <v>185.2</v>
      </c>
      <c r="S6" s="42">
        <v>196.6</v>
      </c>
      <c r="T6" s="43">
        <v>213.7</v>
      </c>
      <c r="U6" s="43">
        <v>249.9</v>
      </c>
      <c r="V6" s="44">
        <v>235.2</v>
      </c>
      <c r="W6" s="43">
        <v>262.7</v>
      </c>
      <c r="X6" s="43">
        <v>265.7</v>
      </c>
    </row>
    <row r="7" spans="1:25" s="8" customFormat="1" x14ac:dyDescent="0.2">
      <c r="A7" s="97" t="s">
        <v>264</v>
      </c>
      <c r="B7" s="97" t="s">
        <v>570</v>
      </c>
      <c r="C7" s="42">
        <v>92.4</v>
      </c>
      <c r="D7" s="43">
        <v>97</v>
      </c>
      <c r="E7" s="43">
        <v>95.9</v>
      </c>
      <c r="F7" s="43">
        <v>88.3</v>
      </c>
      <c r="G7" s="42">
        <v>82.8</v>
      </c>
      <c r="H7" s="43">
        <v>70</v>
      </c>
      <c r="I7" s="43">
        <v>87.9</v>
      </c>
      <c r="J7" s="44">
        <v>49.9</v>
      </c>
      <c r="K7" s="42">
        <v>88.2</v>
      </c>
      <c r="L7" s="43">
        <v>101.3</v>
      </c>
      <c r="M7" s="43">
        <v>94.2</v>
      </c>
      <c r="N7" s="44">
        <v>140.1</v>
      </c>
      <c r="O7" s="42">
        <v>112.3</v>
      </c>
      <c r="P7" s="43">
        <v>88.8</v>
      </c>
      <c r="Q7" s="43">
        <v>95.8</v>
      </c>
      <c r="R7" s="44">
        <v>160.9</v>
      </c>
      <c r="S7" s="42">
        <v>123.4</v>
      </c>
      <c r="T7" s="43">
        <v>133.9</v>
      </c>
      <c r="U7" s="43">
        <v>108.1</v>
      </c>
      <c r="V7" s="44">
        <v>163.30000000000001</v>
      </c>
      <c r="W7" s="43">
        <v>132.4</v>
      </c>
      <c r="X7" s="43">
        <v>138.5</v>
      </c>
    </row>
    <row r="8" spans="1:25" s="8" customFormat="1" x14ac:dyDescent="0.2">
      <c r="A8" s="41" t="s">
        <v>279</v>
      </c>
      <c r="B8" s="41" t="s">
        <v>571</v>
      </c>
      <c r="C8" s="42">
        <v>28</v>
      </c>
      <c r="D8" s="43">
        <v>12.5</v>
      </c>
      <c r="E8" s="43">
        <v>19.3</v>
      </c>
      <c r="F8" s="43">
        <v>-5.9</v>
      </c>
      <c r="G8" s="42">
        <v>72.5</v>
      </c>
      <c r="H8" s="43">
        <v>32.700000000000003</v>
      </c>
      <c r="I8" s="43">
        <v>38.299999999999997</v>
      </c>
      <c r="J8" s="44">
        <v>-236.8</v>
      </c>
      <c r="K8" s="42">
        <v>-16.399999999999999</v>
      </c>
      <c r="L8" s="43">
        <v>84.7</v>
      </c>
      <c r="M8" s="43">
        <v>45</v>
      </c>
      <c r="N8" s="44">
        <v>-61.8</v>
      </c>
      <c r="O8" s="42">
        <v>25.7</v>
      </c>
      <c r="P8" s="43">
        <v>26.7</v>
      </c>
      <c r="Q8" s="43">
        <v>23.8</v>
      </c>
      <c r="R8" s="44">
        <v>-37</v>
      </c>
      <c r="S8" s="42">
        <v>26.1</v>
      </c>
      <c r="T8" s="43">
        <v>4.2</v>
      </c>
      <c r="U8" s="43">
        <v>-10.3</v>
      </c>
      <c r="V8" s="44">
        <v>-28.8</v>
      </c>
      <c r="W8" s="43">
        <v>50.9</v>
      </c>
      <c r="X8" s="43">
        <v>3.5</v>
      </c>
    </row>
    <row r="9" spans="1:25" s="4" customFormat="1" ht="22.5" hidden="1" x14ac:dyDescent="0.2">
      <c r="A9" s="97" t="s">
        <v>280</v>
      </c>
      <c r="B9" s="97" t="s">
        <v>572</v>
      </c>
      <c r="C9" s="42">
        <v>0</v>
      </c>
      <c r="D9" s="43">
        <v>0</v>
      </c>
      <c r="E9" s="43">
        <v>0</v>
      </c>
      <c r="F9" s="43">
        <v>0</v>
      </c>
      <c r="G9" s="42">
        <v>0</v>
      </c>
      <c r="H9" s="43">
        <v>0</v>
      </c>
      <c r="I9" s="43">
        <v>0</v>
      </c>
      <c r="J9" s="44">
        <v>0</v>
      </c>
      <c r="K9" s="42">
        <v>0</v>
      </c>
      <c r="L9" s="43">
        <v>0</v>
      </c>
      <c r="M9" s="43">
        <v>0</v>
      </c>
      <c r="N9" s="44">
        <v>0</v>
      </c>
      <c r="O9" s="42">
        <v>0</v>
      </c>
      <c r="P9" s="43">
        <v>0</v>
      </c>
      <c r="Q9" s="43">
        <v>0</v>
      </c>
      <c r="R9" s="44">
        <v>0</v>
      </c>
      <c r="S9" s="42">
        <v>0</v>
      </c>
      <c r="T9" s="43">
        <v>0</v>
      </c>
      <c r="U9" s="43">
        <v>0</v>
      </c>
      <c r="V9" s="44">
        <v>0</v>
      </c>
      <c r="W9" s="43">
        <v>0</v>
      </c>
      <c r="X9" s="43">
        <v>0</v>
      </c>
    </row>
    <row r="10" spans="1:25" s="10" customFormat="1" x14ac:dyDescent="0.2">
      <c r="A10" s="108" t="s">
        <v>281</v>
      </c>
      <c r="B10" s="108" t="s">
        <v>63</v>
      </c>
      <c r="C10" s="49">
        <f t="shared" ref="C10:X10" si="1">SUM(C11:C13)</f>
        <v>122.1</v>
      </c>
      <c r="D10" s="50">
        <f t="shared" si="1"/>
        <v>125.6</v>
      </c>
      <c r="E10" s="50">
        <f t="shared" si="1"/>
        <v>129.80000000000001</v>
      </c>
      <c r="F10" s="50">
        <f t="shared" si="1"/>
        <v>129.6</v>
      </c>
      <c r="G10" s="49">
        <f t="shared" si="1"/>
        <v>132.5</v>
      </c>
      <c r="H10" s="50">
        <f t="shared" si="1"/>
        <v>137.5</v>
      </c>
      <c r="I10" s="50">
        <f t="shared" si="1"/>
        <v>156.4</v>
      </c>
      <c r="J10" s="51">
        <f t="shared" si="1"/>
        <v>109.19999999999999</v>
      </c>
      <c r="K10" s="49">
        <f t="shared" si="1"/>
        <v>133.4</v>
      </c>
      <c r="L10" s="50">
        <f t="shared" si="1"/>
        <v>134.30000000000001</v>
      </c>
      <c r="M10" s="50">
        <f t="shared" si="1"/>
        <v>140.80000000000001</v>
      </c>
      <c r="N10" s="51">
        <f t="shared" si="1"/>
        <v>117.9</v>
      </c>
      <c r="O10" s="49">
        <f t="shared" si="1"/>
        <v>142.10000000000002</v>
      </c>
      <c r="P10" s="50">
        <f t="shared" si="1"/>
        <v>146.5</v>
      </c>
      <c r="Q10" s="50">
        <f t="shared" si="1"/>
        <v>143.9</v>
      </c>
      <c r="R10" s="51">
        <f t="shared" si="1"/>
        <v>140.6</v>
      </c>
      <c r="S10" s="49">
        <f t="shared" si="1"/>
        <v>156.6</v>
      </c>
      <c r="T10" s="50">
        <f t="shared" si="1"/>
        <v>170.4</v>
      </c>
      <c r="U10" s="50">
        <f t="shared" si="1"/>
        <v>141.1</v>
      </c>
      <c r="V10" s="51">
        <f t="shared" si="1"/>
        <v>155.4</v>
      </c>
      <c r="W10" s="50">
        <f t="shared" si="1"/>
        <v>182.7</v>
      </c>
      <c r="X10" s="50">
        <f t="shared" si="1"/>
        <v>175.2</v>
      </c>
    </row>
    <row r="11" spans="1:25" s="10" customFormat="1" x14ac:dyDescent="0.2">
      <c r="A11" s="99" t="s">
        <v>514</v>
      </c>
      <c r="B11" s="99" t="s">
        <v>573</v>
      </c>
      <c r="C11" s="42">
        <v>56.3</v>
      </c>
      <c r="D11" s="43">
        <v>61.3</v>
      </c>
      <c r="E11" s="43">
        <v>63.6</v>
      </c>
      <c r="F11" s="43">
        <v>70.8</v>
      </c>
      <c r="G11" s="42">
        <v>68.900000000000006</v>
      </c>
      <c r="H11" s="43">
        <v>69.7</v>
      </c>
      <c r="I11" s="43">
        <v>79.5</v>
      </c>
      <c r="J11" s="44">
        <v>78.5</v>
      </c>
      <c r="K11" s="42">
        <v>54.6</v>
      </c>
      <c r="L11" s="43">
        <v>72.099999999999994</v>
      </c>
      <c r="M11" s="43">
        <v>68.2</v>
      </c>
      <c r="N11" s="44">
        <v>83.4</v>
      </c>
      <c r="O11" s="42">
        <v>68.900000000000006</v>
      </c>
      <c r="P11" s="43">
        <v>71.599999999999994</v>
      </c>
      <c r="Q11" s="43">
        <v>75.3</v>
      </c>
      <c r="R11" s="44">
        <v>97.2</v>
      </c>
      <c r="S11" s="42">
        <v>78.3</v>
      </c>
      <c r="T11" s="43">
        <v>91.7</v>
      </c>
      <c r="U11" s="43">
        <v>72.599999999999994</v>
      </c>
      <c r="V11" s="44">
        <v>90.2</v>
      </c>
      <c r="W11" s="43">
        <v>99.3</v>
      </c>
      <c r="X11" s="43">
        <v>86.6</v>
      </c>
    </row>
    <row r="12" spans="1:25" s="8" customFormat="1" x14ac:dyDescent="0.2">
      <c r="A12" s="97" t="s">
        <v>515</v>
      </c>
      <c r="B12" s="97" t="s">
        <v>574</v>
      </c>
      <c r="C12" s="42">
        <v>12.6</v>
      </c>
      <c r="D12" s="43">
        <v>13.2</v>
      </c>
      <c r="E12" s="43">
        <v>12.7</v>
      </c>
      <c r="F12" s="43">
        <v>17.8</v>
      </c>
      <c r="G12" s="42">
        <v>8.3000000000000007</v>
      </c>
      <c r="H12" s="43">
        <v>8</v>
      </c>
      <c r="I12" s="43">
        <v>9.4</v>
      </c>
      <c r="J12" s="44">
        <v>8.6</v>
      </c>
      <c r="K12" s="42">
        <v>7.7</v>
      </c>
      <c r="L12" s="43">
        <v>7.7</v>
      </c>
      <c r="M12" s="43">
        <v>6.1</v>
      </c>
      <c r="N12" s="44">
        <v>7.9</v>
      </c>
      <c r="O12" s="42">
        <v>7.5</v>
      </c>
      <c r="P12" s="43">
        <v>7.5</v>
      </c>
      <c r="Q12" s="43">
        <v>7.9</v>
      </c>
      <c r="R12" s="44">
        <v>8.5</v>
      </c>
      <c r="S12" s="42">
        <v>8.6999999999999993</v>
      </c>
      <c r="T12" s="43">
        <v>9.8000000000000007</v>
      </c>
      <c r="U12" s="43">
        <v>9.5</v>
      </c>
      <c r="V12" s="44">
        <v>11.2</v>
      </c>
      <c r="W12" s="43">
        <v>9.6</v>
      </c>
      <c r="X12" s="43">
        <v>9.6999999999999993</v>
      </c>
    </row>
    <row r="13" spans="1:25" s="10" customFormat="1" x14ac:dyDescent="0.2">
      <c r="A13" s="97" t="s">
        <v>516</v>
      </c>
      <c r="B13" s="97" t="s">
        <v>575</v>
      </c>
      <c r="C13" s="42">
        <v>53.2</v>
      </c>
      <c r="D13" s="43">
        <v>51.1</v>
      </c>
      <c r="E13" s="43">
        <v>53.5</v>
      </c>
      <c r="F13" s="43">
        <v>41</v>
      </c>
      <c r="G13" s="42">
        <v>55.3</v>
      </c>
      <c r="H13" s="43">
        <v>59.8</v>
      </c>
      <c r="I13" s="43">
        <v>67.5</v>
      </c>
      <c r="J13" s="44">
        <v>22.1</v>
      </c>
      <c r="K13" s="42">
        <v>71.099999999999994</v>
      </c>
      <c r="L13" s="43">
        <v>54.5</v>
      </c>
      <c r="M13" s="43">
        <v>66.5</v>
      </c>
      <c r="N13" s="44">
        <v>26.6</v>
      </c>
      <c r="O13" s="42">
        <v>65.7</v>
      </c>
      <c r="P13" s="43">
        <v>67.400000000000006</v>
      </c>
      <c r="Q13" s="43">
        <v>60.7</v>
      </c>
      <c r="R13" s="44">
        <v>34.9</v>
      </c>
      <c r="S13" s="42">
        <v>69.599999999999994</v>
      </c>
      <c r="T13" s="43">
        <v>68.900000000000006</v>
      </c>
      <c r="U13" s="43">
        <v>59</v>
      </c>
      <c r="V13" s="44">
        <v>54</v>
      </c>
      <c r="W13" s="43">
        <v>73.8</v>
      </c>
      <c r="X13" s="43">
        <v>78.900000000000006</v>
      </c>
    </row>
    <row r="14" spans="1:25" s="10" customFormat="1" x14ac:dyDescent="0.2">
      <c r="A14" s="98" t="s">
        <v>511</v>
      </c>
      <c r="B14" s="98" t="s">
        <v>576</v>
      </c>
      <c r="C14" s="49">
        <f>C5-C10</f>
        <v>96.4</v>
      </c>
      <c r="D14" s="50">
        <f t="shared" ref="D14:X14" si="2">D5-D10</f>
        <v>86.5</v>
      </c>
      <c r="E14" s="50">
        <f t="shared" si="2"/>
        <v>91.199999999999989</v>
      </c>
      <c r="F14" s="50">
        <f t="shared" si="2"/>
        <v>62.199999999999989</v>
      </c>
      <c r="G14" s="49">
        <f t="shared" si="2"/>
        <v>151.89999999999998</v>
      </c>
      <c r="H14" s="50">
        <f t="shared" si="2"/>
        <v>135</v>
      </c>
      <c r="I14" s="50">
        <f t="shared" si="2"/>
        <v>120.1</v>
      </c>
      <c r="J14" s="51">
        <f t="shared" si="2"/>
        <v>-75.600000000000023</v>
      </c>
      <c r="K14" s="49">
        <f t="shared" si="2"/>
        <v>126.50000000000003</v>
      </c>
      <c r="L14" s="50">
        <f t="shared" si="2"/>
        <v>197.7</v>
      </c>
      <c r="M14" s="50">
        <f t="shared" si="2"/>
        <v>223.3</v>
      </c>
      <c r="N14" s="51">
        <f t="shared" si="2"/>
        <v>161.79999999999998</v>
      </c>
      <c r="O14" s="49">
        <f t="shared" si="2"/>
        <v>208.29999999999995</v>
      </c>
      <c r="P14" s="50">
        <f t="shared" si="2"/>
        <v>172.09999999999997</v>
      </c>
      <c r="Q14" s="50">
        <f t="shared" si="2"/>
        <v>186.79999999999998</v>
      </c>
      <c r="R14" s="51">
        <f t="shared" si="2"/>
        <v>168.50000000000003</v>
      </c>
      <c r="S14" s="49">
        <f t="shared" si="2"/>
        <v>189.50000000000003</v>
      </c>
      <c r="T14" s="50">
        <f t="shared" si="2"/>
        <v>181.4</v>
      </c>
      <c r="U14" s="50">
        <f t="shared" si="2"/>
        <v>206.6</v>
      </c>
      <c r="V14" s="51">
        <f t="shared" si="2"/>
        <v>214.29999999999998</v>
      </c>
      <c r="W14" s="50">
        <f t="shared" si="2"/>
        <v>263.3</v>
      </c>
      <c r="X14" s="50">
        <f t="shared" si="2"/>
        <v>232.5</v>
      </c>
    </row>
    <row r="15" spans="1:25" s="10" customFormat="1" x14ac:dyDescent="0.2">
      <c r="A15" s="99" t="s">
        <v>282</v>
      </c>
      <c r="B15" s="99" t="s">
        <v>577</v>
      </c>
      <c r="C15" s="42">
        <v>-3.9</v>
      </c>
      <c r="D15" s="43">
        <v>-16.3</v>
      </c>
      <c r="E15" s="43">
        <v>-39.4</v>
      </c>
      <c r="F15" s="43">
        <v>-3.6</v>
      </c>
      <c r="G15" s="42">
        <v>3.3</v>
      </c>
      <c r="H15" s="43">
        <v>-64.8</v>
      </c>
      <c r="I15" s="43">
        <v>2.2999999999999998</v>
      </c>
      <c r="J15" s="44">
        <v>96.4</v>
      </c>
      <c r="K15" s="42">
        <v>78.900000000000006</v>
      </c>
      <c r="L15" s="43">
        <v>67</v>
      </c>
      <c r="M15" s="43">
        <v>32.700000000000003</v>
      </c>
      <c r="N15" s="44">
        <v>62</v>
      </c>
      <c r="O15" s="42">
        <v>26.9</v>
      </c>
      <c r="P15" s="43">
        <v>26.2</v>
      </c>
      <c r="Q15" s="43">
        <v>33.799999999999997</v>
      </c>
      <c r="R15" s="44">
        <v>35.6</v>
      </c>
      <c r="S15" s="42">
        <v>23.2</v>
      </c>
      <c r="T15" s="43">
        <v>16.5</v>
      </c>
      <c r="U15" s="43">
        <v>6.1</v>
      </c>
      <c r="V15" s="44">
        <v>36.4</v>
      </c>
      <c r="W15" s="43">
        <v>45</v>
      </c>
      <c r="X15" s="43">
        <v>106</v>
      </c>
    </row>
    <row r="16" spans="1:25" s="10" customFormat="1" ht="29.45" customHeight="1" x14ac:dyDescent="0.2">
      <c r="A16" s="109" t="s">
        <v>512</v>
      </c>
      <c r="B16" s="109" t="s">
        <v>578</v>
      </c>
      <c r="C16" s="103">
        <f>C14-C15</f>
        <v>100.30000000000001</v>
      </c>
      <c r="D16" s="104">
        <f t="shared" ref="D16:X16" si="3">D14-D15</f>
        <v>102.8</v>
      </c>
      <c r="E16" s="104">
        <f t="shared" si="3"/>
        <v>130.6</v>
      </c>
      <c r="F16" s="104">
        <f t="shared" si="3"/>
        <v>65.799999999999983</v>
      </c>
      <c r="G16" s="103">
        <f t="shared" si="3"/>
        <v>148.59999999999997</v>
      </c>
      <c r="H16" s="104">
        <f t="shared" si="3"/>
        <v>199.8</v>
      </c>
      <c r="I16" s="104">
        <f t="shared" si="3"/>
        <v>117.8</v>
      </c>
      <c r="J16" s="104">
        <f t="shared" si="3"/>
        <v>-172.00000000000003</v>
      </c>
      <c r="K16" s="103">
        <f t="shared" si="3"/>
        <v>47.600000000000023</v>
      </c>
      <c r="L16" s="104">
        <f t="shared" si="3"/>
        <v>130.69999999999999</v>
      </c>
      <c r="M16" s="104">
        <f t="shared" si="3"/>
        <v>190.60000000000002</v>
      </c>
      <c r="N16" s="104">
        <f t="shared" si="3"/>
        <v>99.799999999999983</v>
      </c>
      <c r="O16" s="103">
        <f t="shared" si="3"/>
        <v>181.39999999999995</v>
      </c>
      <c r="P16" s="104">
        <f t="shared" si="3"/>
        <v>145.89999999999998</v>
      </c>
      <c r="Q16" s="104">
        <f t="shared" si="3"/>
        <v>153</v>
      </c>
      <c r="R16" s="104">
        <f t="shared" si="3"/>
        <v>132.90000000000003</v>
      </c>
      <c r="S16" s="103">
        <f t="shared" si="3"/>
        <v>166.30000000000004</v>
      </c>
      <c r="T16" s="104">
        <f t="shared" si="3"/>
        <v>164.9</v>
      </c>
      <c r="U16" s="104">
        <f t="shared" si="3"/>
        <v>200.5</v>
      </c>
      <c r="V16" s="104">
        <f t="shared" si="3"/>
        <v>177.89999999999998</v>
      </c>
      <c r="W16" s="103">
        <f t="shared" si="3"/>
        <v>218.3</v>
      </c>
      <c r="X16" s="104">
        <f t="shared" si="3"/>
        <v>126.5</v>
      </c>
    </row>
    <row r="17" spans="1:24" ht="7.9" customHeight="1" x14ac:dyDescent="0.2">
      <c r="A17" s="15"/>
      <c r="B17" s="15"/>
      <c r="C17" s="24"/>
      <c r="D17" s="24"/>
      <c r="E17" s="24"/>
      <c r="F17" s="24"/>
      <c r="G17" s="24"/>
      <c r="H17" s="24"/>
      <c r="I17" s="24"/>
      <c r="J17" s="24"/>
      <c r="K17" s="24"/>
      <c r="L17" s="24"/>
      <c r="M17" s="24"/>
      <c r="N17" s="24"/>
      <c r="O17" s="24"/>
      <c r="P17" s="24"/>
      <c r="Q17" s="24"/>
      <c r="R17" s="24"/>
      <c r="S17" s="24"/>
      <c r="T17" s="24"/>
      <c r="U17" s="24"/>
      <c r="V17" s="24"/>
      <c r="W17" s="24"/>
      <c r="X17" s="24"/>
    </row>
    <row r="18" spans="1:24" x14ac:dyDescent="0.2">
      <c r="A18" s="26" t="s">
        <v>283</v>
      </c>
      <c r="B18" s="26" t="s">
        <v>64</v>
      </c>
      <c r="C18" s="25"/>
      <c r="D18" s="25"/>
      <c r="E18" s="25"/>
      <c r="F18" s="25"/>
      <c r="G18" s="25"/>
      <c r="H18" s="25"/>
      <c r="I18" s="25"/>
      <c r="J18" s="25"/>
      <c r="K18" s="25"/>
      <c r="L18" s="25"/>
      <c r="M18" s="25"/>
      <c r="N18" s="25"/>
      <c r="O18" s="25"/>
      <c r="P18" s="25"/>
      <c r="Q18" s="25"/>
      <c r="R18" s="25"/>
      <c r="S18" s="25"/>
      <c r="T18" s="25"/>
      <c r="U18" s="25"/>
      <c r="V18" s="25"/>
      <c r="W18" s="25"/>
      <c r="X18" s="25"/>
    </row>
    <row r="21" spans="1:24" hidden="1" x14ac:dyDescent="0.2">
      <c r="A21" s="110"/>
      <c r="B21" s="110" t="s">
        <v>581</v>
      </c>
      <c r="C21" s="111">
        <f>SUM(C22:C25)</f>
        <v>218.56041261199016</v>
      </c>
      <c r="D21" s="111">
        <f t="shared" ref="D21:X21" si="4">SUM(D22:D25)</f>
        <v>212.11749440072009</v>
      </c>
      <c r="E21" s="111">
        <f t="shared" si="4"/>
        <v>221.01287825369945</v>
      </c>
      <c r="F21" s="111">
        <f t="shared" si="4"/>
        <v>191.83269383878562</v>
      </c>
      <c r="G21" s="111">
        <f t="shared" si="4"/>
        <v>284.37059445245859</v>
      </c>
      <c r="H21" s="111">
        <f t="shared" si="4"/>
        <v>272.45470684294952</v>
      </c>
      <c r="I21" s="111">
        <f t="shared" si="4"/>
        <v>276.54920570867375</v>
      </c>
      <c r="J21" s="111">
        <f t="shared" si="4"/>
        <v>33.535052977241889</v>
      </c>
      <c r="K21" s="111">
        <f t="shared" si="4"/>
        <v>259.90540865232026</v>
      </c>
      <c r="L21" s="111">
        <f t="shared" si="4"/>
        <v>331.97465498073007</v>
      </c>
      <c r="M21" s="111">
        <f t="shared" si="4"/>
        <v>364.19413759122494</v>
      </c>
      <c r="N21" s="111">
        <f t="shared" si="4"/>
        <v>279.63210370974093</v>
      </c>
      <c r="O21" s="111">
        <f t="shared" si="4"/>
        <v>350.45542999006466</v>
      </c>
      <c r="P21" s="111">
        <f t="shared" si="4"/>
        <v>318.67218460879502</v>
      </c>
      <c r="Q21" s="111">
        <f t="shared" si="4"/>
        <v>330.7573991895423</v>
      </c>
      <c r="R21" s="111">
        <f t="shared" si="4"/>
        <v>309.09199915687151</v>
      </c>
      <c r="S21" s="111">
        <f t="shared" si="4"/>
        <v>346.19627233218682</v>
      </c>
      <c r="T21" s="111">
        <f t="shared" si="4"/>
        <v>351.80667409126437</v>
      </c>
      <c r="U21" s="111">
        <f t="shared" si="4"/>
        <v>347.65651153642563</v>
      </c>
      <c r="V21" s="111">
        <f t="shared" si="4"/>
        <v>369.65973045065169</v>
      </c>
      <c r="W21" s="111">
        <f t="shared" si="4"/>
        <v>446.02942916048295</v>
      </c>
      <c r="X21" s="111">
        <f t="shared" si="4"/>
        <v>407.79314623919129</v>
      </c>
    </row>
    <row r="22" spans="1:24" hidden="1" x14ac:dyDescent="0.2">
      <c r="C22" s="107">
        <v>98.140192882637649</v>
      </c>
      <c r="D22" s="107">
        <v>102.62945202339367</v>
      </c>
      <c r="E22" s="107">
        <v>105.83012752189558</v>
      </c>
      <c r="F22" s="107">
        <v>109.40490794879386</v>
      </c>
      <c r="G22" s="107">
        <v>129.05721038511442</v>
      </c>
      <c r="H22" s="107">
        <v>169.81664065671379</v>
      </c>
      <c r="I22" s="107">
        <v>150.29604456191061</v>
      </c>
      <c r="J22" s="107">
        <v>220.49519626321253</v>
      </c>
      <c r="K22" s="107">
        <v>188.11451348107317</v>
      </c>
      <c r="L22" s="107">
        <v>145.9910956990573</v>
      </c>
      <c r="M22" s="107">
        <v>224.94735321902797</v>
      </c>
      <c r="N22" s="107">
        <v>201.41007716575899</v>
      </c>
      <c r="O22" s="107">
        <v>212.37520812619277</v>
      </c>
      <c r="P22" s="107">
        <v>203.1113145747257</v>
      </c>
      <c r="Q22" s="107">
        <v>211.11373476330235</v>
      </c>
      <c r="R22" s="107">
        <v>185.16966017261544</v>
      </c>
      <c r="S22" s="107">
        <v>196.6271925607806</v>
      </c>
      <c r="T22" s="107">
        <v>213.7444737950014</v>
      </c>
      <c r="U22" s="107">
        <v>249.90060757721005</v>
      </c>
      <c r="V22" s="107">
        <v>235.17658589758932</v>
      </c>
      <c r="W22" s="107">
        <v>262.7192058237481</v>
      </c>
      <c r="X22" s="107">
        <v>265.70393082000498</v>
      </c>
    </row>
    <row r="23" spans="1:24" hidden="1" x14ac:dyDescent="0.2">
      <c r="C23" s="107">
        <v>92.403917313893913</v>
      </c>
      <c r="D23" s="107">
        <v>96.976310883182421</v>
      </c>
      <c r="E23" s="107">
        <v>95.895563312259668</v>
      </c>
      <c r="F23" s="107">
        <v>88.330330315800509</v>
      </c>
      <c r="G23" s="107">
        <v>82.782836409432122</v>
      </c>
      <c r="H23" s="107">
        <v>69.978214638234149</v>
      </c>
      <c r="I23" s="107">
        <v>87.948676737631061</v>
      </c>
      <c r="J23" s="107">
        <v>49.86200910647284</v>
      </c>
      <c r="K23" s="107">
        <v>88.20094428121179</v>
      </c>
      <c r="L23" s="107">
        <v>101.2968618539478</v>
      </c>
      <c r="M23" s="107">
        <v>94.230493825062155</v>
      </c>
      <c r="N23" s="107">
        <v>140.0684254627769</v>
      </c>
      <c r="O23" s="107">
        <v>112.33659778231572</v>
      </c>
      <c r="P23" s="107">
        <v>88.827718174581648</v>
      </c>
      <c r="Q23" s="107">
        <v>95.799483466659723</v>
      </c>
      <c r="R23" s="107">
        <v>160.88682274596863</v>
      </c>
      <c r="S23" s="107">
        <v>123.428287550075</v>
      </c>
      <c r="T23" s="107">
        <v>133.90772654695863</v>
      </c>
      <c r="U23" s="107">
        <v>108.10458183451874</v>
      </c>
      <c r="V23" s="107">
        <v>163.30185848688626</v>
      </c>
      <c r="W23" s="107">
        <v>132.40809028380892</v>
      </c>
      <c r="X23" s="107">
        <v>138.53953791286074</v>
      </c>
    </row>
    <row r="24" spans="1:24" hidden="1" x14ac:dyDescent="0.2">
      <c r="C24" s="107">
        <v>28.016302415458608</v>
      </c>
      <c r="D24" s="107">
        <v>12.511731494143982</v>
      </c>
      <c r="E24" s="107">
        <v>19.287187419544207</v>
      </c>
      <c r="F24" s="107">
        <v>-5.9025444258087756</v>
      </c>
      <c r="G24" s="107">
        <v>72.530547657912024</v>
      </c>
      <c r="H24" s="107">
        <v>32.659851548001583</v>
      </c>
      <c r="I24" s="107">
        <v>38.304484409132087</v>
      </c>
      <c r="J24" s="107">
        <v>-236.82215239244351</v>
      </c>
      <c r="K24" s="107">
        <v>-16.410049109964717</v>
      </c>
      <c r="L24" s="107">
        <v>84.686697427724994</v>
      </c>
      <c r="M24" s="107">
        <v>45.016290547134822</v>
      </c>
      <c r="N24" s="107">
        <v>-61.846398918794975</v>
      </c>
      <c r="O24" s="107">
        <v>25.743624081556156</v>
      </c>
      <c r="P24" s="107">
        <v>26.733151859487698</v>
      </c>
      <c r="Q24" s="107">
        <v>23.844180959580243</v>
      </c>
      <c r="R24" s="107">
        <v>-36.964483761712536</v>
      </c>
      <c r="S24" s="107">
        <v>26.140792221331239</v>
      </c>
      <c r="T24" s="107">
        <v>4.1544737493043655</v>
      </c>
      <c r="U24" s="107">
        <v>-10.348677875303162</v>
      </c>
      <c r="V24" s="107">
        <v>-28.818713933823837</v>
      </c>
      <c r="W24" s="107">
        <v>50.902133052925933</v>
      </c>
      <c r="X24" s="107">
        <v>3.549677506325537</v>
      </c>
    </row>
    <row r="25" spans="1:24" hidden="1" x14ac:dyDescent="0.2">
      <c r="C25" s="107">
        <v>0</v>
      </c>
      <c r="D25" s="107">
        <v>0</v>
      </c>
      <c r="E25" s="107">
        <v>0</v>
      </c>
      <c r="F25" s="107">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7">
        <v>0</v>
      </c>
      <c r="X25" s="107">
        <v>0</v>
      </c>
    </row>
    <row r="26" spans="1:24" hidden="1" x14ac:dyDescent="0.2">
      <c r="C26" s="111">
        <f>SUM(C27:C29)</f>
        <v>122.14196355415201</v>
      </c>
      <c r="D26" s="111">
        <f t="shared" ref="D26:X26" si="5">SUM(D27:D29)</f>
        <v>125.51922585103537</v>
      </c>
      <c r="E26" s="111">
        <f t="shared" si="5"/>
        <v>129.7582771093557</v>
      </c>
      <c r="F26" s="111">
        <f t="shared" si="5"/>
        <v>129.65943564712637</v>
      </c>
      <c r="G26" s="111">
        <f t="shared" si="5"/>
        <v>132.48919212074509</v>
      </c>
      <c r="H26" s="111">
        <f t="shared" si="5"/>
        <v>137.48904703030809</v>
      </c>
      <c r="I26" s="111">
        <f t="shared" si="5"/>
        <v>156.36847397297311</v>
      </c>
      <c r="J26" s="111">
        <f t="shared" si="5"/>
        <v>109.13063278397192</v>
      </c>
      <c r="K26" s="111">
        <f t="shared" si="5"/>
        <v>133.46916473803623</v>
      </c>
      <c r="L26" s="111">
        <f t="shared" si="5"/>
        <v>134.40295926486283</v>
      </c>
      <c r="M26" s="111">
        <f t="shared" si="5"/>
        <v>140.7769686012125</v>
      </c>
      <c r="N26" s="111">
        <f t="shared" si="5"/>
        <v>117.90199454306666</v>
      </c>
      <c r="O26" s="111">
        <f t="shared" si="5"/>
        <v>142.02524896706396</v>
      </c>
      <c r="P26" s="111">
        <f t="shared" si="5"/>
        <v>146.53601304542389</v>
      </c>
      <c r="Q26" s="111">
        <f t="shared" si="5"/>
        <v>143.85386829430976</v>
      </c>
      <c r="R26" s="111">
        <f t="shared" si="5"/>
        <v>140.60050900995623</v>
      </c>
      <c r="S26" s="111">
        <f t="shared" si="5"/>
        <v>156.70116046227503</v>
      </c>
      <c r="T26" s="111">
        <f t="shared" si="5"/>
        <v>170.36477990371151</v>
      </c>
      <c r="U26" s="111">
        <f t="shared" si="5"/>
        <v>141.04293529382056</v>
      </c>
      <c r="V26" s="111">
        <f t="shared" si="5"/>
        <v>155.45478852512844</v>
      </c>
      <c r="W26" s="111">
        <f t="shared" si="5"/>
        <v>182.67871424309621</v>
      </c>
      <c r="X26" s="111">
        <f t="shared" si="5"/>
        <v>175.27427162951639</v>
      </c>
    </row>
    <row r="27" spans="1:24" hidden="1" x14ac:dyDescent="0.2">
      <c r="C27" s="107">
        <v>56.306930518755692</v>
      </c>
      <c r="D27" s="107">
        <v>61.260192194403018</v>
      </c>
      <c r="E27" s="107">
        <v>63.55471782356318</v>
      </c>
      <c r="F27" s="107">
        <v>70.766084086637974</v>
      </c>
      <c r="G27" s="107">
        <v>68.8524911805752</v>
      </c>
      <c r="H27" s="107">
        <v>69.701264884558171</v>
      </c>
      <c r="I27" s="107">
        <v>79.450753150090378</v>
      </c>
      <c r="J27" s="107">
        <v>78.505108194110363</v>
      </c>
      <c r="K27" s="107">
        <v>54.62456922804941</v>
      </c>
      <c r="L27" s="107">
        <v>72.134922301912567</v>
      </c>
      <c r="M27" s="107">
        <v>68.172188431616362</v>
      </c>
      <c r="N27" s="107">
        <v>83.415670661929951</v>
      </c>
      <c r="O27" s="107">
        <v>68.858905584625788</v>
      </c>
      <c r="P27" s="107">
        <v>71.599147703532267</v>
      </c>
      <c r="Q27" s="107">
        <v>75.30878547513457</v>
      </c>
      <c r="R27" s="107">
        <v>97.155893855228356</v>
      </c>
      <c r="S27" s="107">
        <v>78.330225154459029</v>
      </c>
      <c r="T27" s="107">
        <v>91.697192930286576</v>
      </c>
      <c r="U27" s="107">
        <v>72.555838152590724</v>
      </c>
      <c r="V27" s="107">
        <v>90.214354100786579</v>
      </c>
      <c r="W27" s="107">
        <v>99.310229650336723</v>
      </c>
      <c r="X27" s="107">
        <v>86.631260999973136</v>
      </c>
    </row>
    <row r="28" spans="1:24" hidden="1" x14ac:dyDescent="0.2">
      <c r="C28" s="107">
        <v>12.601680439514535</v>
      </c>
      <c r="D28" s="107">
        <v>13.184417107237751</v>
      </c>
      <c r="E28" s="107">
        <v>12.747364606445338</v>
      </c>
      <c r="F28" s="107">
        <v>17.846310449023473</v>
      </c>
      <c r="G28" s="107">
        <v>8.3294999999999977</v>
      </c>
      <c r="H28" s="107">
        <v>8.0300168042371514</v>
      </c>
      <c r="I28" s="107">
        <v>9.3753205053686539</v>
      </c>
      <c r="J28" s="107">
        <v>8.5533563597554458</v>
      </c>
      <c r="K28" s="107">
        <v>7.7202842999559618</v>
      </c>
      <c r="L28" s="107">
        <v>7.7286048584734903</v>
      </c>
      <c r="M28" s="107">
        <v>6.1136161133882005</v>
      </c>
      <c r="N28" s="107">
        <v>7.9261621483785873</v>
      </c>
      <c r="O28" s="107">
        <v>7.4516931100041734</v>
      </c>
      <c r="P28" s="107">
        <v>7.4901035514262588</v>
      </c>
      <c r="Q28" s="107">
        <v>7.8500170257712671</v>
      </c>
      <c r="R28" s="107">
        <v>8.5451007626350108</v>
      </c>
      <c r="S28" s="107">
        <v>8.7342317107410352</v>
      </c>
      <c r="T28" s="107">
        <v>9.7687588441184268</v>
      </c>
      <c r="U28" s="107">
        <v>9.5343740367504886</v>
      </c>
      <c r="V28" s="107">
        <v>11.221745840907424</v>
      </c>
      <c r="W28" s="107">
        <v>9.6114169695129341</v>
      </c>
      <c r="X28" s="107">
        <v>9.7436340117179014</v>
      </c>
    </row>
    <row r="29" spans="1:24" hidden="1" x14ac:dyDescent="0.2">
      <c r="C29" s="107">
        <v>53.233352595881783</v>
      </c>
      <c r="D29" s="107">
        <v>51.074616549394598</v>
      </c>
      <c r="E29" s="107">
        <v>53.456194679347185</v>
      </c>
      <c r="F29" s="107">
        <v>41.047041111464907</v>
      </c>
      <c r="G29" s="107">
        <v>55.307200940169878</v>
      </c>
      <c r="H29" s="107">
        <v>59.757765341512759</v>
      </c>
      <c r="I29" s="107">
        <v>67.542400317514094</v>
      </c>
      <c r="J29" s="107">
        <v>22.072168230106115</v>
      </c>
      <c r="K29" s="107">
        <v>71.124311210030868</v>
      </c>
      <c r="L29" s="107">
        <v>54.539432104476759</v>
      </c>
      <c r="M29" s="107">
        <v>66.49116405620795</v>
      </c>
      <c r="N29" s="107">
        <v>26.560161732758118</v>
      </c>
      <c r="O29" s="107">
        <v>65.714650272434</v>
      </c>
      <c r="P29" s="107">
        <v>67.446761790465345</v>
      </c>
      <c r="Q29" s="107">
        <v>60.695065793403927</v>
      </c>
      <c r="R29" s="107">
        <v>34.899514392092847</v>
      </c>
      <c r="S29" s="107">
        <v>69.636703597074941</v>
      </c>
      <c r="T29" s="107">
        <v>68.898828129306523</v>
      </c>
      <c r="U29" s="107">
        <v>58.952723104479333</v>
      </c>
      <c r="V29" s="107">
        <v>54.018688583434432</v>
      </c>
      <c r="W29" s="107">
        <v>73.757067623246556</v>
      </c>
      <c r="X29" s="107">
        <v>78.899376617825354</v>
      </c>
    </row>
    <row r="30" spans="1:24" hidden="1" x14ac:dyDescent="0.2">
      <c r="C30" s="111">
        <f>C21-C26</f>
        <v>96.418449057838146</v>
      </c>
      <c r="D30" s="111">
        <f t="shared" ref="D30:X30" si="6">D21-D26</f>
        <v>86.598268549684718</v>
      </c>
      <c r="E30" s="111">
        <f t="shared" si="6"/>
        <v>91.254601144343752</v>
      </c>
      <c r="F30" s="111">
        <f t="shared" si="6"/>
        <v>62.173258191659244</v>
      </c>
      <c r="G30" s="111">
        <f t="shared" si="6"/>
        <v>151.8814023317135</v>
      </c>
      <c r="H30" s="111">
        <f t="shared" si="6"/>
        <v>134.96565981264143</v>
      </c>
      <c r="I30" s="111">
        <f t="shared" si="6"/>
        <v>120.18073173570065</v>
      </c>
      <c r="J30" s="111">
        <f t="shared" si="6"/>
        <v>-75.595579806730029</v>
      </c>
      <c r="K30" s="111">
        <f t="shared" si="6"/>
        <v>126.43624391428403</v>
      </c>
      <c r="L30" s="111">
        <f t="shared" si="6"/>
        <v>197.57169571586724</v>
      </c>
      <c r="M30" s="111">
        <f t="shared" si="6"/>
        <v>223.41716899001244</v>
      </c>
      <c r="N30" s="111">
        <f t="shared" si="6"/>
        <v>161.73010916667425</v>
      </c>
      <c r="O30" s="111">
        <f t="shared" si="6"/>
        <v>208.4301810230007</v>
      </c>
      <c r="P30" s="111">
        <f t="shared" si="6"/>
        <v>172.13617156337114</v>
      </c>
      <c r="Q30" s="111">
        <f t="shared" si="6"/>
        <v>186.90353089523254</v>
      </c>
      <c r="R30" s="111">
        <f t="shared" si="6"/>
        <v>168.49149014691528</v>
      </c>
      <c r="S30" s="111">
        <f t="shared" si="6"/>
        <v>189.4951118699118</v>
      </c>
      <c r="T30" s="111">
        <f t="shared" si="6"/>
        <v>181.44189418755286</v>
      </c>
      <c r="U30" s="111">
        <f t="shared" si="6"/>
        <v>206.61357624260506</v>
      </c>
      <c r="V30" s="111">
        <f t="shared" si="6"/>
        <v>214.20494192552326</v>
      </c>
      <c r="W30" s="111">
        <f t="shared" si="6"/>
        <v>263.35071491738677</v>
      </c>
      <c r="X30" s="111">
        <f t="shared" si="6"/>
        <v>232.5188746096749</v>
      </c>
    </row>
    <row r="31" spans="1:24" hidden="1" x14ac:dyDescent="0.2">
      <c r="C31" s="107">
        <v>-3.8567435607290275</v>
      </c>
      <c r="D31" s="107">
        <v>-16.345246519280163</v>
      </c>
      <c r="E31" s="107">
        <v>-39.424489731896728</v>
      </c>
      <c r="F31" s="107">
        <v>-3.5506528019410095</v>
      </c>
      <c r="G31" s="107">
        <v>3.2623933277922714</v>
      </c>
      <c r="H31" s="107">
        <v>-64.848189327792269</v>
      </c>
      <c r="I31" s="107">
        <v>2.2557959999999966</v>
      </c>
      <c r="J31" s="107">
        <v>96.432999999999979</v>
      </c>
      <c r="K31" s="107">
        <v>78.893063360001193</v>
      </c>
      <c r="L31" s="107">
        <v>67.050046272323428</v>
      </c>
      <c r="M31" s="107">
        <v>32.692126272475321</v>
      </c>
      <c r="N31" s="107">
        <v>61.956166307037719</v>
      </c>
      <c r="O31" s="107">
        <v>26.871903522091703</v>
      </c>
      <c r="P31" s="107">
        <v>26.179969752012486</v>
      </c>
      <c r="Q31" s="107">
        <v>33.799569035441515</v>
      </c>
      <c r="R31" s="107">
        <v>35.646339033387086</v>
      </c>
      <c r="S31" s="107">
        <v>23.196327419858022</v>
      </c>
      <c r="T31" s="107">
        <v>16.469932541254927</v>
      </c>
      <c r="U31" s="107">
        <v>6.0913964993828031</v>
      </c>
      <c r="V31" s="107">
        <v>36.426487963455841</v>
      </c>
      <c r="W31" s="107">
        <v>45.014109956203413</v>
      </c>
      <c r="X31" s="107">
        <v>106.01179495171687</v>
      </c>
    </row>
    <row r="32" spans="1:24" hidden="1" x14ac:dyDescent="0.2">
      <c r="C32" s="111">
        <f>C30-C31</f>
        <v>100.27519261856717</v>
      </c>
      <c r="D32" s="111">
        <f t="shared" ref="D32:X32" si="7">D30-D31</f>
        <v>102.94351506896489</v>
      </c>
      <c r="E32" s="111">
        <f t="shared" si="7"/>
        <v>130.67909087624048</v>
      </c>
      <c r="F32" s="111">
        <f t="shared" si="7"/>
        <v>65.723910993600256</v>
      </c>
      <c r="G32" s="111">
        <f t="shared" si="7"/>
        <v>148.61900900392124</v>
      </c>
      <c r="H32" s="111">
        <f t="shared" si="7"/>
        <v>199.81384914043372</v>
      </c>
      <c r="I32" s="111">
        <f t="shared" si="7"/>
        <v>117.92493573570064</v>
      </c>
      <c r="J32" s="111">
        <f t="shared" si="7"/>
        <v>-172.02857980673002</v>
      </c>
      <c r="K32" s="111">
        <f t="shared" si="7"/>
        <v>47.543180554282841</v>
      </c>
      <c r="L32" s="111">
        <f t="shared" si="7"/>
        <v>130.52164944354382</v>
      </c>
      <c r="M32" s="111">
        <f t="shared" si="7"/>
        <v>190.72504271753712</v>
      </c>
      <c r="N32" s="111">
        <f t="shared" si="7"/>
        <v>99.773942859636534</v>
      </c>
      <c r="O32" s="111">
        <f t="shared" si="7"/>
        <v>181.55827750090899</v>
      </c>
      <c r="P32" s="111">
        <f t="shared" si="7"/>
        <v>145.95620181135865</v>
      </c>
      <c r="Q32" s="111">
        <f t="shared" si="7"/>
        <v>153.10396185979101</v>
      </c>
      <c r="R32" s="111">
        <f t="shared" si="7"/>
        <v>132.8451511135282</v>
      </c>
      <c r="S32" s="111">
        <f t="shared" si="7"/>
        <v>166.29878445005377</v>
      </c>
      <c r="T32" s="111">
        <f t="shared" si="7"/>
        <v>164.97196164629793</v>
      </c>
      <c r="U32" s="111">
        <f t="shared" si="7"/>
        <v>200.52217974322227</v>
      </c>
      <c r="V32" s="111">
        <f t="shared" si="7"/>
        <v>177.77845396206743</v>
      </c>
      <c r="W32" s="111">
        <f t="shared" si="7"/>
        <v>218.33660496118335</v>
      </c>
      <c r="X32" s="111">
        <f t="shared" si="7"/>
        <v>126.50707965795803</v>
      </c>
    </row>
    <row r="33" spans="1:24" hidden="1" x14ac:dyDescent="0.2"/>
    <row r="34" spans="1:24" hidden="1" x14ac:dyDescent="0.2">
      <c r="A34" s="110"/>
      <c r="B34" s="110" t="s">
        <v>582</v>
      </c>
      <c r="C34" s="111">
        <f>SUM(C35:C38)</f>
        <v>218.5</v>
      </c>
      <c r="D34" s="111">
        <f t="shared" ref="D34:X34" si="8">SUM(D35:D38)</f>
        <v>212.1</v>
      </c>
      <c r="E34" s="111">
        <f t="shared" si="8"/>
        <v>221</v>
      </c>
      <c r="F34" s="111">
        <f t="shared" si="8"/>
        <v>191.79999999999998</v>
      </c>
      <c r="G34" s="111">
        <f t="shared" si="8"/>
        <v>284.39999999999998</v>
      </c>
      <c r="H34" s="111">
        <f t="shared" si="8"/>
        <v>272.5</v>
      </c>
      <c r="I34" s="111">
        <f t="shared" si="8"/>
        <v>276.5</v>
      </c>
      <c r="J34" s="111">
        <f t="shared" si="8"/>
        <v>33.599999999999966</v>
      </c>
      <c r="K34" s="111">
        <f t="shared" si="8"/>
        <v>259.90000000000003</v>
      </c>
      <c r="L34" s="111">
        <f t="shared" si="8"/>
        <v>332</v>
      </c>
      <c r="M34" s="111">
        <f t="shared" si="8"/>
        <v>364.1</v>
      </c>
      <c r="N34" s="111">
        <f t="shared" si="8"/>
        <v>279.7</v>
      </c>
      <c r="O34" s="111">
        <f t="shared" si="8"/>
        <v>350.4</v>
      </c>
      <c r="P34" s="111">
        <f t="shared" si="8"/>
        <v>318.59999999999997</v>
      </c>
      <c r="Q34" s="111">
        <f t="shared" si="8"/>
        <v>330.7</v>
      </c>
      <c r="R34" s="111">
        <f t="shared" si="8"/>
        <v>309.10000000000002</v>
      </c>
      <c r="S34" s="111">
        <f t="shared" si="8"/>
        <v>346.1</v>
      </c>
      <c r="T34" s="111">
        <f t="shared" si="8"/>
        <v>351.8</v>
      </c>
      <c r="U34" s="111">
        <f t="shared" si="8"/>
        <v>347.7</v>
      </c>
      <c r="V34" s="111">
        <f t="shared" si="8"/>
        <v>369.7</v>
      </c>
      <c r="W34" s="111">
        <f t="shared" si="8"/>
        <v>446</v>
      </c>
      <c r="X34" s="111">
        <f t="shared" si="8"/>
        <v>407.7</v>
      </c>
    </row>
    <row r="35" spans="1:24" hidden="1" x14ac:dyDescent="0.2">
      <c r="C35" s="107">
        <f>ROUND(C22,1)</f>
        <v>98.1</v>
      </c>
      <c r="D35" s="107">
        <f t="shared" ref="D35:X38" si="9">ROUND(D22,1)</f>
        <v>102.6</v>
      </c>
      <c r="E35" s="107">
        <f t="shared" si="9"/>
        <v>105.8</v>
      </c>
      <c r="F35" s="107">
        <f t="shared" si="9"/>
        <v>109.4</v>
      </c>
      <c r="G35" s="107">
        <f t="shared" si="9"/>
        <v>129.1</v>
      </c>
      <c r="H35" s="107">
        <f t="shared" si="9"/>
        <v>169.8</v>
      </c>
      <c r="I35" s="107">
        <f t="shared" si="9"/>
        <v>150.30000000000001</v>
      </c>
      <c r="J35" s="107">
        <f t="shared" si="9"/>
        <v>220.5</v>
      </c>
      <c r="K35" s="107">
        <f t="shared" si="9"/>
        <v>188.1</v>
      </c>
      <c r="L35" s="107">
        <f t="shared" si="9"/>
        <v>146</v>
      </c>
      <c r="M35" s="107">
        <f t="shared" si="9"/>
        <v>224.9</v>
      </c>
      <c r="N35" s="107">
        <f t="shared" si="9"/>
        <v>201.4</v>
      </c>
      <c r="O35" s="107">
        <f t="shared" si="9"/>
        <v>212.4</v>
      </c>
      <c r="P35" s="107">
        <f t="shared" si="9"/>
        <v>203.1</v>
      </c>
      <c r="Q35" s="107">
        <f t="shared" si="9"/>
        <v>211.1</v>
      </c>
      <c r="R35" s="107">
        <f t="shared" si="9"/>
        <v>185.2</v>
      </c>
      <c r="S35" s="107">
        <f t="shared" si="9"/>
        <v>196.6</v>
      </c>
      <c r="T35" s="107">
        <f t="shared" si="9"/>
        <v>213.7</v>
      </c>
      <c r="U35" s="107">
        <f t="shared" si="9"/>
        <v>249.9</v>
      </c>
      <c r="V35" s="107">
        <f t="shared" si="9"/>
        <v>235.2</v>
      </c>
      <c r="W35" s="107">
        <f t="shared" si="9"/>
        <v>262.7</v>
      </c>
      <c r="X35" s="107">
        <f t="shared" si="9"/>
        <v>265.7</v>
      </c>
    </row>
    <row r="36" spans="1:24" hidden="1" x14ac:dyDescent="0.2">
      <c r="C36" s="107">
        <f t="shared" ref="C36:R42" si="10">ROUND(C23,1)</f>
        <v>92.4</v>
      </c>
      <c r="D36" s="107">
        <f t="shared" si="10"/>
        <v>97</v>
      </c>
      <c r="E36" s="107">
        <f t="shared" si="10"/>
        <v>95.9</v>
      </c>
      <c r="F36" s="107">
        <f t="shared" si="10"/>
        <v>88.3</v>
      </c>
      <c r="G36" s="107">
        <f t="shared" si="10"/>
        <v>82.8</v>
      </c>
      <c r="H36" s="107">
        <f t="shared" si="10"/>
        <v>70</v>
      </c>
      <c r="I36" s="107">
        <f t="shared" si="10"/>
        <v>87.9</v>
      </c>
      <c r="J36" s="107">
        <f t="shared" si="10"/>
        <v>49.9</v>
      </c>
      <c r="K36" s="107">
        <f t="shared" si="10"/>
        <v>88.2</v>
      </c>
      <c r="L36" s="107">
        <f t="shared" si="10"/>
        <v>101.3</v>
      </c>
      <c r="M36" s="107">
        <f t="shared" si="10"/>
        <v>94.2</v>
      </c>
      <c r="N36" s="107">
        <f t="shared" si="10"/>
        <v>140.1</v>
      </c>
      <c r="O36" s="107">
        <f t="shared" si="10"/>
        <v>112.3</v>
      </c>
      <c r="P36" s="107">
        <f t="shared" si="10"/>
        <v>88.8</v>
      </c>
      <c r="Q36" s="107">
        <f t="shared" si="10"/>
        <v>95.8</v>
      </c>
      <c r="R36" s="107">
        <f t="shared" si="10"/>
        <v>160.9</v>
      </c>
      <c r="S36" s="107">
        <f t="shared" si="9"/>
        <v>123.4</v>
      </c>
      <c r="T36" s="107">
        <f t="shared" si="9"/>
        <v>133.9</v>
      </c>
      <c r="U36" s="107">
        <f t="shared" si="9"/>
        <v>108.1</v>
      </c>
      <c r="V36" s="107">
        <f t="shared" si="9"/>
        <v>163.30000000000001</v>
      </c>
      <c r="W36" s="107">
        <f t="shared" si="9"/>
        <v>132.4</v>
      </c>
      <c r="X36" s="107">
        <f t="shared" si="9"/>
        <v>138.5</v>
      </c>
    </row>
    <row r="37" spans="1:24" hidden="1" x14ac:dyDescent="0.2">
      <c r="C37" s="107">
        <f t="shared" si="10"/>
        <v>28</v>
      </c>
      <c r="D37" s="107">
        <f t="shared" si="9"/>
        <v>12.5</v>
      </c>
      <c r="E37" s="107">
        <f t="shared" si="9"/>
        <v>19.3</v>
      </c>
      <c r="F37" s="107">
        <f t="shared" si="9"/>
        <v>-5.9</v>
      </c>
      <c r="G37" s="107">
        <f t="shared" si="9"/>
        <v>72.5</v>
      </c>
      <c r="H37" s="107">
        <f t="shared" si="9"/>
        <v>32.700000000000003</v>
      </c>
      <c r="I37" s="107">
        <f t="shared" si="9"/>
        <v>38.299999999999997</v>
      </c>
      <c r="J37" s="107">
        <f t="shared" si="9"/>
        <v>-236.8</v>
      </c>
      <c r="K37" s="107">
        <f t="shared" si="9"/>
        <v>-16.399999999999999</v>
      </c>
      <c r="L37" s="107">
        <f t="shared" si="9"/>
        <v>84.7</v>
      </c>
      <c r="M37" s="107">
        <f t="shared" si="9"/>
        <v>45</v>
      </c>
      <c r="N37" s="107">
        <f t="shared" si="9"/>
        <v>-61.8</v>
      </c>
      <c r="O37" s="107">
        <f t="shared" si="9"/>
        <v>25.7</v>
      </c>
      <c r="P37" s="107">
        <f t="shared" si="9"/>
        <v>26.7</v>
      </c>
      <c r="Q37" s="107">
        <f t="shared" si="9"/>
        <v>23.8</v>
      </c>
      <c r="R37" s="107">
        <f t="shared" si="9"/>
        <v>-37</v>
      </c>
      <c r="S37" s="107">
        <f t="shared" si="9"/>
        <v>26.1</v>
      </c>
      <c r="T37" s="107">
        <f t="shared" si="9"/>
        <v>4.2</v>
      </c>
      <c r="U37" s="107">
        <f t="shared" si="9"/>
        <v>-10.3</v>
      </c>
      <c r="V37" s="107">
        <f t="shared" si="9"/>
        <v>-28.8</v>
      </c>
      <c r="W37" s="107">
        <f t="shared" si="9"/>
        <v>50.9</v>
      </c>
      <c r="X37" s="107">
        <f t="shared" si="9"/>
        <v>3.5</v>
      </c>
    </row>
    <row r="38" spans="1:24" hidden="1" x14ac:dyDescent="0.2">
      <c r="C38" s="107">
        <f t="shared" si="10"/>
        <v>0</v>
      </c>
      <c r="D38" s="107">
        <f t="shared" si="9"/>
        <v>0</v>
      </c>
      <c r="E38" s="107">
        <f t="shared" si="9"/>
        <v>0</v>
      </c>
      <c r="F38" s="107">
        <f t="shared" si="9"/>
        <v>0</v>
      </c>
      <c r="G38" s="107">
        <f t="shared" si="9"/>
        <v>0</v>
      </c>
      <c r="H38" s="107">
        <f t="shared" si="9"/>
        <v>0</v>
      </c>
      <c r="I38" s="107">
        <f t="shared" si="9"/>
        <v>0</v>
      </c>
      <c r="J38" s="107">
        <f t="shared" si="9"/>
        <v>0</v>
      </c>
      <c r="K38" s="107">
        <f t="shared" si="9"/>
        <v>0</v>
      </c>
      <c r="L38" s="107">
        <f t="shared" si="9"/>
        <v>0</v>
      </c>
      <c r="M38" s="107">
        <f t="shared" si="9"/>
        <v>0</v>
      </c>
      <c r="N38" s="107">
        <f t="shared" si="9"/>
        <v>0</v>
      </c>
      <c r="O38" s="107">
        <f t="shared" si="9"/>
        <v>0</v>
      </c>
      <c r="P38" s="107">
        <f t="shared" si="9"/>
        <v>0</v>
      </c>
      <c r="Q38" s="107">
        <f t="shared" si="9"/>
        <v>0</v>
      </c>
      <c r="R38" s="107">
        <f t="shared" si="9"/>
        <v>0</v>
      </c>
      <c r="S38" s="107">
        <f t="shared" si="9"/>
        <v>0</v>
      </c>
      <c r="T38" s="107">
        <f t="shared" si="9"/>
        <v>0</v>
      </c>
      <c r="U38" s="107">
        <f t="shared" si="9"/>
        <v>0</v>
      </c>
      <c r="V38" s="107">
        <f t="shared" si="9"/>
        <v>0</v>
      </c>
      <c r="W38" s="107">
        <f t="shared" si="9"/>
        <v>0</v>
      </c>
      <c r="X38" s="107">
        <f t="shared" si="9"/>
        <v>0</v>
      </c>
    </row>
    <row r="39" spans="1:24" hidden="1" x14ac:dyDescent="0.2">
      <c r="A39" s="3"/>
      <c r="B39" s="3"/>
      <c r="C39" s="111">
        <f>SUM(C40:C42)</f>
        <v>122.1</v>
      </c>
      <c r="D39" s="111">
        <f t="shared" ref="D39:X39" si="11">SUM(D40:D42)</f>
        <v>125.6</v>
      </c>
      <c r="E39" s="111">
        <f t="shared" si="11"/>
        <v>129.80000000000001</v>
      </c>
      <c r="F39" s="111">
        <f t="shared" si="11"/>
        <v>129.6</v>
      </c>
      <c r="G39" s="111">
        <f t="shared" si="11"/>
        <v>132.5</v>
      </c>
      <c r="H39" s="111">
        <f t="shared" si="11"/>
        <v>137.5</v>
      </c>
      <c r="I39" s="111">
        <f t="shared" si="11"/>
        <v>156.4</v>
      </c>
      <c r="J39" s="111">
        <f t="shared" si="11"/>
        <v>109.19999999999999</v>
      </c>
      <c r="K39" s="111">
        <f t="shared" si="11"/>
        <v>133.4</v>
      </c>
      <c r="L39" s="111">
        <f t="shared" si="11"/>
        <v>134.30000000000001</v>
      </c>
      <c r="M39" s="111">
        <f t="shared" si="11"/>
        <v>140.80000000000001</v>
      </c>
      <c r="N39" s="111">
        <f t="shared" si="11"/>
        <v>117.9</v>
      </c>
      <c r="O39" s="111">
        <f t="shared" si="11"/>
        <v>142.10000000000002</v>
      </c>
      <c r="P39" s="111">
        <f t="shared" si="11"/>
        <v>146.5</v>
      </c>
      <c r="Q39" s="111">
        <f t="shared" si="11"/>
        <v>143.9</v>
      </c>
      <c r="R39" s="111">
        <f t="shared" si="11"/>
        <v>140.6</v>
      </c>
      <c r="S39" s="111">
        <f t="shared" si="11"/>
        <v>156.6</v>
      </c>
      <c r="T39" s="111">
        <f t="shared" si="11"/>
        <v>170.4</v>
      </c>
      <c r="U39" s="111">
        <f t="shared" si="11"/>
        <v>141.1</v>
      </c>
      <c r="V39" s="111">
        <f t="shared" si="11"/>
        <v>155.4</v>
      </c>
      <c r="W39" s="111">
        <f t="shared" si="11"/>
        <v>182.7</v>
      </c>
      <c r="X39" s="111">
        <f t="shared" si="11"/>
        <v>175.2</v>
      </c>
    </row>
    <row r="40" spans="1:24" hidden="1" x14ac:dyDescent="0.2">
      <c r="A40" s="3"/>
      <c r="B40" s="3"/>
      <c r="C40" s="107">
        <f t="shared" si="10"/>
        <v>56.3</v>
      </c>
      <c r="D40" s="107">
        <f t="shared" si="10"/>
        <v>61.3</v>
      </c>
      <c r="E40" s="107">
        <f t="shared" si="10"/>
        <v>63.6</v>
      </c>
      <c r="F40" s="107">
        <f t="shared" si="10"/>
        <v>70.8</v>
      </c>
      <c r="G40" s="107">
        <f t="shared" si="10"/>
        <v>68.900000000000006</v>
      </c>
      <c r="H40" s="107">
        <f t="shared" si="10"/>
        <v>69.7</v>
      </c>
      <c r="I40" s="107">
        <f t="shared" si="10"/>
        <v>79.5</v>
      </c>
      <c r="J40" s="107">
        <f t="shared" si="10"/>
        <v>78.5</v>
      </c>
      <c r="K40" s="107">
        <f t="shared" si="10"/>
        <v>54.6</v>
      </c>
      <c r="L40" s="107">
        <f t="shared" si="10"/>
        <v>72.099999999999994</v>
      </c>
      <c r="M40" s="107">
        <f t="shared" si="10"/>
        <v>68.2</v>
      </c>
      <c r="N40" s="107">
        <f t="shared" si="10"/>
        <v>83.4</v>
      </c>
      <c r="O40" s="107">
        <f t="shared" si="10"/>
        <v>68.900000000000006</v>
      </c>
      <c r="P40" s="107">
        <f t="shared" si="10"/>
        <v>71.599999999999994</v>
      </c>
      <c r="Q40" s="107">
        <f t="shared" si="10"/>
        <v>75.3</v>
      </c>
      <c r="R40" s="107">
        <f t="shared" si="10"/>
        <v>97.2</v>
      </c>
      <c r="S40" s="107">
        <f t="shared" ref="S40:X42" si="12">ROUND(S27,1)</f>
        <v>78.3</v>
      </c>
      <c r="T40" s="107">
        <f t="shared" si="12"/>
        <v>91.7</v>
      </c>
      <c r="U40" s="107">
        <f t="shared" si="12"/>
        <v>72.599999999999994</v>
      </c>
      <c r="V40" s="107">
        <f t="shared" si="12"/>
        <v>90.2</v>
      </c>
      <c r="W40" s="107">
        <f t="shared" si="12"/>
        <v>99.3</v>
      </c>
      <c r="X40" s="107">
        <f t="shared" si="12"/>
        <v>86.6</v>
      </c>
    </row>
    <row r="41" spans="1:24" hidden="1" x14ac:dyDescent="0.2">
      <c r="A41" s="3"/>
      <c r="B41" s="3"/>
      <c r="C41" s="107">
        <f t="shared" si="10"/>
        <v>12.6</v>
      </c>
      <c r="D41" s="107">
        <f t="shared" si="10"/>
        <v>13.2</v>
      </c>
      <c r="E41" s="107">
        <f t="shared" si="10"/>
        <v>12.7</v>
      </c>
      <c r="F41" s="107">
        <f t="shared" si="10"/>
        <v>17.8</v>
      </c>
      <c r="G41" s="107">
        <f t="shared" si="10"/>
        <v>8.3000000000000007</v>
      </c>
      <c r="H41" s="107">
        <f t="shared" si="10"/>
        <v>8</v>
      </c>
      <c r="I41" s="107">
        <f t="shared" si="10"/>
        <v>9.4</v>
      </c>
      <c r="J41" s="107">
        <f t="shared" si="10"/>
        <v>8.6</v>
      </c>
      <c r="K41" s="107">
        <f t="shared" si="10"/>
        <v>7.7</v>
      </c>
      <c r="L41" s="107">
        <f t="shared" si="10"/>
        <v>7.7</v>
      </c>
      <c r="M41" s="107">
        <f t="shared" si="10"/>
        <v>6.1</v>
      </c>
      <c r="N41" s="107">
        <f t="shared" si="10"/>
        <v>7.9</v>
      </c>
      <c r="O41" s="107">
        <f t="shared" si="10"/>
        <v>7.5</v>
      </c>
      <c r="P41" s="107">
        <f t="shared" si="10"/>
        <v>7.5</v>
      </c>
      <c r="Q41" s="107">
        <f t="shared" si="10"/>
        <v>7.9</v>
      </c>
      <c r="R41" s="107">
        <f t="shared" si="10"/>
        <v>8.5</v>
      </c>
      <c r="S41" s="107">
        <f t="shared" si="12"/>
        <v>8.6999999999999993</v>
      </c>
      <c r="T41" s="107">
        <f t="shared" si="12"/>
        <v>9.8000000000000007</v>
      </c>
      <c r="U41" s="107">
        <f t="shared" si="12"/>
        <v>9.5</v>
      </c>
      <c r="V41" s="107">
        <f t="shared" si="12"/>
        <v>11.2</v>
      </c>
      <c r="W41" s="107">
        <f t="shared" si="12"/>
        <v>9.6</v>
      </c>
      <c r="X41" s="107">
        <f t="shared" si="12"/>
        <v>9.6999999999999993</v>
      </c>
    </row>
    <row r="42" spans="1:24" hidden="1" x14ac:dyDescent="0.2">
      <c r="A42" s="3"/>
      <c r="B42" s="3"/>
      <c r="C42" s="107">
        <f t="shared" si="10"/>
        <v>53.2</v>
      </c>
      <c r="D42" s="107">
        <f t="shared" si="10"/>
        <v>51.1</v>
      </c>
      <c r="E42" s="107">
        <f t="shared" si="10"/>
        <v>53.5</v>
      </c>
      <c r="F42" s="107">
        <f t="shared" si="10"/>
        <v>41</v>
      </c>
      <c r="G42" s="107">
        <f t="shared" si="10"/>
        <v>55.3</v>
      </c>
      <c r="H42" s="107">
        <f t="shared" si="10"/>
        <v>59.8</v>
      </c>
      <c r="I42" s="107">
        <f t="shared" si="10"/>
        <v>67.5</v>
      </c>
      <c r="J42" s="107">
        <f t="shared" si="10"/>
        <v>22.1</v>
      </c>
      <c r="K42" s="107">
        <f t="shared" si="10"/>
        <v>71.099999999999994</v>
      </c>
      <c r="L42" s="107">
        <f t="shared" si="10"/>
        <v>54.5</v>
      </c>
      <c r="M42" s="107">
        <f t="shared" si="10"/>
        <v>66.5</v>
      </c>
      <c r="N42" s="107">
        <f t="shared" si="10"/>
        <v>26.6</v>
      </c>
      <c r="O42" s="107">
        <f t="shared" si="10"/>
        <v>65.7</v>
      </c>
      <c r="P42" s="107">
        <f t="shared" si="10"/>
        <v>67.400000000000006</v>
      </c>
      <c r="Q42" s="107">
        <f t="shared" si="10"/>
        <v>60.7</v>
      </c>
      <c r="R42" s="107">
        <f t="shared" si="10"/>
        <v>34.9</v>
      </c>
      <c r="S42" s="107">
        <f t="shared" si="12"/>
        <v>69.599999999999994</v>
      </c>
      <c r="T42" s="107">
        <f t="shared" si="12"/>
        <v>68.900000000000006</v>
      </c>
      <c r="U42" s="107">
        <f t="shared" si="12"/>
        <v>59</v>
      </c>
      <c r="V42" s="107">
        <f t="shared" si="12"/>
        <v>54</v>
      </c>
      <c r="W42" s="107">
        <f t="shared" si="12"/>
        <v>73.8</v>
      </c>
      <c r="X42" s="107">
        <f t="shared" si="12"/>
        <v>78.900000000000006</v>
      </c>
    </row>
    <row r="43" spans="1:24" hidden="1" x14ac:dyDescent="0.2">
      <c r="A43" s="3"/>
      <c r="B43" s="3"/>
      <c r="C43" s="111">
        <f>C34-C39</f>
        <v>96.4</v>
      </c>
      <c r="D43" s="111">
        <f t="shared" ref="D43:X43" si="13">D34-D39</f>
        <v>86.5</v>
      </c>
      <c r="E43" s="111">
        <f t="shared" si="13"/>
        <v>91.199999999999989</v>
      </c>
      <c r="F43" s="111">
        <f t="shared" si="13"/>
        <v>62.199999999999989</v>
      </c>
      <c r="G43" s="111">
        <f t="shared" si="13"/>
        <v>151.89999999999998</v>
      </c>
      <c r="H43" s="111">
        <f t="shared" si="13"/>
        <v>135</v>
      </c>
      <c r="I43" s="111">
        <f t="shared" si="13"/>
        <v>120.1</v>
      </c>
      <c r="J43" s="111">
        <f t="shared" si="13"/>
        <v>-75.600000000000023</v>
      </c>
      <c r="K43" s="111">
        <f t="shared" si="13"/>
        <v>126.50000000000003</v>
      </c>
      <c r="L43" s="111">
        <f t="shared" si="13"/>
        <v>197.7</v>
      </c>
      <c r="M43" s="111">
        <f t="shared" si="13"/>
        <v>223.3</v>
      </c>
      <c r="N43" s="111">
        <f t="shared" si="13"/>
        <v>161.79999999999998</v>
      </c>
      <c r="O43" s="111">
        <f t="shared" si="13"/>
        <v>208.29999999999995</v>
      </c>
      <c r="P43" s="111">
        <f t="shared" si="13"/>
        <v>172.09999999999997</v>
      </c>
      <c r="Q43" s="111">
        <f t="shared" si="13"/>
        <v>186.79999999999998</v>
      </c>
      <c r="R43" s="111">
        <f t="shared" si="13"/>
        <v>168.50000000000003</v>
      </c>
      <c r="S43" s="111">
        <f t="shared" si="13"/>
        <v>189.50000000000003</v>
      </c>
      <c r="T43" s="111">
        <f t="shared" si="13"/>
        <v>181.4</v>
      </c>
      <c r="U43" s="111">
        <f t="shared" si="13"/>
        <v>206.6</v>
      </c>
      <c r="V43" s="111">
        <f t="shared" si="13"/>
        <v>214.29999999999998</v>
      </c>
      <c r="W43" s="111">
        <f t="shared" si="13"/>
        <v>263.3</v>
      </c>
      <c r="X43" s="111">
        <f t="shared" si="13"/>
        <v>232.5</v>
      </c>
    </row>
    <row r="44" spans="1:24" hidden="1" x14ac:dyDescent="0.2">
      <c r="A44" s="3"/>
      <c r="B44" s="3"/>
      <c r="C44" s="107">
        <f t="shared" ref="C44:X44" si="14">ROUND(C31,1)</f>
        <v>-3.9</v>
      </c>
      <c r="D44" s="107">
        <f t="shared" si="14"/>
        <v>-16.3</v>
      </c>
      <c r="E44" s="107">
        <f t="shared" si="14"/>
        <v>-39.4</v>
      </c>
      <c r="F44" s="107">
        <f t="shared" si="14"/>
        <v>-3.6</v>
      </c>
      <c r="G44" s="107">
        <f t="shared" si="14"/>
        <v>3.3</v>
      </c>
      <c r="H44" s="107">
        <f t="shared" si="14"/>
        <v>-64.8</v>
      </c>
      <c r="I44" s="107">
        <f t="shared" si="14"/>
        <v>2.2999999999999998</v>
      </c>
      <c r="J44" s="107">
        <f t="shared" si="14"/>
        <v>96.4</v>
      </c>
      <c r="K44" s="107">
        <f t="shared" si="14"/>
        <v>78.900000000000006</v>
      </c>
      <c r="L44" s="112">
        <f>ROUND(L31,1)-0.1</f>
        <v>67</v>
      </c>
      <c r="M44" s="107">
        <f t="shared" si="14"/>
        <v>32.700000000000003</v>
      </c>
      <c r="N44" s="107">
        <f t="shared" si="14"/>
        <v>62</v>
      </c>
      <c r="O44" s="107">
        <f t="shared" si="14"/>
        <v>26.9</v>
      </c>
      <c r="P44" s="107">
        <f t="shared" si="14"/>
        <v>26.2</v>
      </c>
      <c r="Q44" s="107">
        <f t="shared" si="14"/>
        <v>33.799999999999997</v>
      </c>
      <c r="R44" s="107">
        <f t="shared" si="14"/>
        <v>35.6</v>
      </c>
      <c r="S44" s="107">
        <f t="shared" si="14"/>
        <v>23.2</v>
      </c>
      <c r="T44" s="107">
        <f t="shared" si="14"/>
        <v>16.5</v>
      </c>
      <c r="U44" s="107">
        <f t="shared" si="14"/>
        <v>6.1</v>
      </c>
      <c r="V44" s="107">
        <f t="shared" si="14"/>
        <v>36.4</v>
      </c>
      <c r="W44" s="107">
        <f t="shared" si="14"/>
        <v>45</v>
      </c>
      <c r="X44" s="107">
        <f t="shared" si="14"/>
        <v>106</v>
      </c>
    </row>
    <row r="45" spans="1:24" hidden="1" x14ac:dyDescent="0.2">
      <c r="A45" s="3"/>
      <c r="B45" s="3"/>
      <c r="C45" s="111">
        <f>C43-C44</f>
        <v>100.30000000000001</v>
      </c>
      <c r="D45" s="111">
        <f t="shared" ref="D45:X45" si="15">D43-D44</f>
        <v>102.8</v>
      </c>
      <c r="E45" s="111">
        <f t="shared" si="15"/>
        <v>130.6</v>
      </c>
      <c r="F45" s="111">
        <f t="shared" si="15"/>
        <v>65.799999999999983</v>
      </c>
      <c r="G45" s="111">
        <f t="shared" si="15"/>
        <v>148.59999999999997</v>
      </c>
      <c r="H45" s="111">
        <f t="shared" si="15"/>
        <v>199.8</v>
      </c>
      <c r="I45" s="111">
        <f t="shared" si="15"/>
        <v>117.8</v>
      </c>
      <c r="J45" s="111">
        <f t="shared" si="15"/>
        <v>-172.00000000000003</v>
      </c>
      <c r="K45" s="111">
        <f t="shared" si="15"/>
        <v>47.600000000000023</v>
      </c>
      <c r="L45" s="111">
        <f t="shared" si="15"/>
        <v>130.69999999999999</v>
      </c>
      <c r="M45" s="111">
        <f t="shared" si="15"/>
        <v>190.60000000000002</v>
      </c>
      <c r="N45" s="111">
        <f t="shared" si="15"/>
        <v>99.799999999999983</v>
      </c>
      <c r="O45" s="111">
        <f t="shared" si="15"/>
        <v>181.39999999999995</v>
      </c>
      <c r="P45" s="111">
        <f t="shared" si="15"/>
        <v>145.89999999999998</v>
      </c>
      <c r="Q45" s="111">
        <f t="shared" si="15"/>
        <v>153</v>
      </c>
      <c r="R45" s="111">
        <f t="shared" si="15"/>
        <v>132.90000000000003</v>
      </c>
      <c r="S45" s="111">
        <f t="shared" si="15"/>
        <v>166.30000000000004</v>
      </c>
      <c r="T45" s="111">
        <f t="shared" si="15"/>
        <v>164.9</v>
      </c>
      <c r="U45" s="111">
        <f t="shared" si="15"/>
        <v>200.5</v>
      </c>
      <c r="V45" s="111">
        <f t="shared" si="15"/>
        <v>177.89999999999998</v>
      </c>
      <c r="W45" s="111">
        <f t="shared" si="15"/>
        <v>218.3</v>
      </c>
      <c r="X45" s="111">
        <f t="shared" si="15"/>
        <v>126.5</v>
      </c>
    </row>
    <row r="46" spans="1:24" hidden="1" x14ac:dyDescent="0.2">
      <c r="A46" s="3"/>
      <c r="B46" s="3"/>
    </row>
    <row r="47" spans="1:24" hidden="1" x14ac:dyDescent="0.2">
      <c r="A47" s="113"/>
      <c r="B47" s="113" t="s">
        <v>583</v>
      </c>
      <c r="C47" s="111">
        <f>SUM(C48:C51)</f>
        <v>538.19999999999993</v>
      </c>
      <c r="D47" s="111">
        <f t="shared" ref="D47:X47" si="16">SUM(D48:D51)</f>
        <v>521.20000000000005</v>
      </c>
      <c r="E47" s="111">
        <f t="shared" si="16"/>
        <v>541.30000000000007</v>
      </c>
      <c r="F47" s="111">
        <f t="shared" si="16"/>
        <v>472.20000000000005</v>
      </c>
      <c r="G47" s="111">
        <f t="shared" si="16"/>
        <v>581.5</v>
      </c>
      <c r="H47" s="111">
        <f t="shared" si="16"/>
        <v>624.50000000000011</v>
      </c>
      <c r="I47" s="111">
        <f t="shared" si="16"/>
        <v>619</v>
      </c>
      <c r="J47" s="111">
        <f t="shared" si="16"/>
        <v>302.69999999999993</v>
      </c>
      <c r="K47" s="111">
        <f t="shared" si="16"/>
        <v>557.30000000000007</v>
      </c>
      <c r="L47" s="111">
        <f t="shared" si="16"/>
        <v>685</v>
      </c>
      <c r="M47" s="111">
        <f t="shared" si="16"/>
        <v>704.3</v>
      </c>
      <c r="N47" s="111">
        <f t="shared" si="16"/>
        <v>585.6</v>
      </c>
      <c r="O47" s="111">
        <f t="shared" si="16"/>
        <v>658.09999999999991</v>
      </c>
      <c r="P47" s="111">
        <f t="shared" si="16"/>
        <v>678.59999999999991</v>
      </c>
      <c r="Q47" s="111">
        <f t="shared" si="16"/>
        <v>700.19999999999993</v>
      </c>
      <c r="R47" s="111">
        <f t="shared" si="16"/>
        <v>694.69999999999993</v>
      </c>
      <c r="S47" s="111">
        <f t="shared" si="16"/>
        <v>732.5</v>
      </c>
      <c r="T47" s="111">
        <f t="shared" si="16"/>
        <v>750.4</v>
      </c>
      <c r="U47" s="111">
        <f t="shared" si="16"/>
        <v>725.7</v>
      </c>
      <c r="V47" s="111">
        <f t="shared" si="16"/>
        <v>745.00000000000011</v>
      </c>
      <c r="W47" s="111">
        <f t="shared" si="16"/>
        <v>845.8</v>
      </c>
      <c r="X47" s="111">
        <f t="shared" si="16"/>
        <v>792.5</v>
      </c>
    </row>
    <row r="48" spans="1:24" hidden="1" x14ac:dyDescent="0.2">
      <c r="A48" s="3"/>
      <c r="B48" s="3"/>
      <c r="C48" s="107">
        <f>C35+'[1]RZiS Segment detaliczny'!B34</f>
        <v>236.1</v>
      </c>
      <c r="D48" s="107">
        <f>D35+'[1]RZiS Segment detaliczny'!C34</f>
        <v>246.9</v>
      </c>
      <c r="E48" s="107">
        <f>E35+'[1]RZiS Segment detaliczny'!D34</f>
        <v>254.60000000000002</v>
      </c>
      <c r="F48" s="107">
        <f>F35+'[1]RZiS Segment detaliczny'!E34</f>
        <v>263.20000000000005</v>
      </c>
      <c r="G48" s="107">
        <f>G35+'[1]RZiS Segment detaliczny'!F34</f>
        <v>283.39999999999998</v>
      </c>
      <c r="H48" s="107">
        <f>H35+'[1]RZiS Segment detaliczny'!G34</f>
        <v>315.8</v>
      </c>
      <c r="I48" s="107">
        <f>I35+'[1]RZiS Segment detaliczny'!H34</f>
        <v>320.89999999999998</v>
      </c>
      <c r="J48" s="107">
        <f>J35+'[1]RZiS Segment detaliczny'!I34</f>
        <v>332.5</v>
      </c>
      <c r="K48" s="107">
        <f>K35+'[1]RZiS Segment detaliczny'!J34</f>
        <v>311.10000000000002</v>
      </c>
      <c r="L48" s="107">
        <f>L35+'[1]RZiS Segment detaliczny'!K34</f>
        <v>359</v>
      </c>
      <c r="M48" s="107">
        <f>M35+'[1]RZiS Segment detaliczny'!L34</f>
        <v>378</v>
      </c>
      <c r="N48" s="107">
        <f>N35+'[1]RZiS Segment detaliczny'!M34</f>
        <v>354.4</v>
      </c>
      <c r="O48" s="107">
        <f>O35+'[1]RZiS Segment detaliczny'!N34</f>
        <v>390.4</v>
      </c>
      <c r="P48" s="107">
        <f>P35+'[1]RZiS Segment detaliczny'!O34</f>
        <v>405.29999999999995</v>
      </c>
      <c r="Q48" s="107">
        <f>Q35+'[1]RZiS Segment detaliczny'!P34</f>
        <v>410.2</v>
      </c>
      <c r="R48" s="107">
        <f>R35+'[1]RZiS Segment detaliczny'!Q34</f>
        <v>421.7</v>
      </c>
      <c r="S48" s="107">
        <f>S35+'[1]RZiS Segment detaliczny'!R34</f>
        <v>434.9</v>
      </c>
      <c r="T48" s="107">
        <f>T35+'[1]RZiS Segment detaliczny'!S34</f>
        <v>459.5</v>
      </c>
      <c r="U48" s="107">
        <f>U35+'[1]RZiS Segment detaliczny'!T34</f>
        <v>477.4</v>
      </c>
      <c r="V48" s="107">
        <f>V35+'[1]RZiS Segment detaliczny'!U34</f>
        <v>479.7</v>
      </c>
      <c r="W48" s="107">
        <f>W35+'[1]RZiS Segment detaliczny'!V34</f>
        <v>513.5</v>
      </c>
      <c r="X48" s="107">
        <f>X35+'[1]RZiS Segment detaliczny'!W34</f>
        <v>514.1</v>
      </c>
    </row>
    <row r="49" spans="1:24" hidden="1" x14ac:dyDescent="0.2">
      <c r="A49" s="3"/>
      <c r="B49" s="3"/>
      <c r="C49" s="107">
        <f>C36+'[1]RZiS Segment detaliczny'!B35</f>
        <v>222.3</v>
      </c>
      <c r="D49" s="107">
        <f>D36+'[1]RZiS Segment detaliczny'!C35</f>
        <v>233.3</v>
      </c>
      <c r="E49" s="107">
        <f>E36+'[1]RZiS Segment detaliczny'!D35</f>
        <v>230.70000000000002</v>
      </c>
      <c r="F49" s="107">
        <f>F36+'[1]RZiS Segment detaliczny'!E35</f>
        <v>212.5</v>
      </c>
      <c r="G49" s="107">
        <f>G36+'[1]RZiS Segment detaliczny'!F35</f>
        <v>206.7</v>
      </c>
      <c r="H49" s="107">
        <f>H36+'[1]RZiS Segment detaliczny'!G35</f>
        <v>215.8</v>
      </c>
      <c r="I49" s="107">
        <f>I36+'[1]RZiS Segment detaliczny'!H35</f>
        <v>228.3</v>
      </c>
      <c r="J49" s="107">
        <f>J36+'[1]RZiS Segment detaliczny'!I35</f>
        <v>238.9</v>
      </c>
      <c r="K49" s="107">
        <f>K36+'[1]RZiS Segment detaliczny'!J35</f>
        <v>234</v>
      </c>
      <c r="L49" s="107">
        <f>L36+'[1]RZiS Segment detaliczny'!K35</f>
        <v>249.89999999999998</v>
      </c>
      <c r="M49" s="107">
        <f>M36+'[1]RZiS Segment detaliczny'!L35</f>
        <v>253</v>
      </c>
      <c r="N49" s="107">
        <f>N36+'[1]RZiS Segment detaliczny'!M35</f>
        <v>227.5</v>
      </c>
      <c r="O49" s="107">
        <f>O36+'[1]RZiS Segment detaliczny'!N35</f>
        <v>228.5</v>
      </c>
      <c r="P49" s="107">
        <f>P36+'[1]RZiS Segment detaliczny'!O35</f>
        <v>246.89999999999998</v>
      </c>
      <c r="Q49" s="107">
        <f>Q36+'[1]RZiS Segment detaliczny'!P35</f>
        <v>255.60000000000002</v>
      </c>
      <c r="R49" s="107">
        <f>R36+'[1]RZiS Segment detaliczny'!Q35</f>
        <v>256.3</v>
      </c>
      <c r="S49" s="107">
        <f>S36+'[1]RZiS Segment detaliczny'!R35</f>
        <v>251.4</v>
      </c>
      <c r="T49" s="107">
        <f>T36+'[1]RZiS Segment detaliczny'!S35</f>
        <v>258.39999999999998</v>
      </c>
      <c r="U49" s="107">
        <f>U36+'[1]RZiS Segment detaliczny'!T35</f>
        <v>261.39999999999998</v>
      </c>
      <c r="V49" s="107">
        <f>V36+'[1]RZiS Segment detaliczny'!U35</f>
        <v>250</v>
      </c>
      <c r="W49" s="107">
        <f>W36+'[1]RZiS Segment detaliczny'!V35</f>
        <v>247</v>
      </c>
      <c r="X49" s="107">
        <f>X36+'[1]RZiS Segment detaliczny'!W35</f>
        <v>250.4</v>
      </c>
    </row>
    <row r="50" spans="1:24" hidden="1" x14ac:dyDescent="0.2">
      <c r="A50" s="3"/>
      <c r="B50" s="3"/>
      <c r="C50" s="107">
        <f>C37+'[1]RZiS Segment detaliczny'!B36</f>
        <v>67.400000000000006</v>
      </c>
      <c r="D50" s="107">
        <f>D37+'[1]RZiS Segment detaliczny'!C36</f>
        <v>30.1</v>
      </c>
      <c r="E50" s="107">
        <f>E37+'[1]RZiS Segment detaliczny'!D36</f>
        <v>46.400000000000006</v>
      </c>
      <c r="F50" s="107">
        <f>F37+'[1]RZiS Segment detaliczny'!E36</f>
        <v>-14.200000000000001</v>
      </c>
      <c r="G50" s="107">
        <f>G37+'[1]RZiS Segment detaliczny'!F36</f>
        <v>79.8</v>
      </c>
      <c r="H50" s="107">
        <f>H37+'[1]RZiS Segment detaliczny'!G36</f>
        <v>78.7</v>
      </c>
      <c r="I50" s="107">
        <f>I37+'[1]RZiS Segment detaliczny'!H36</f>
        <v>56.8</v>
      </c>
      <c r="J50" s="107">
        <f>J37+'[1]RZiS Segment detaliczny'!I36</f>
        <v>-278.10000000000002</v>
      </c>
      <c r="K50" s="107">
        <f>K37+'[1]RZiS Segment detaliczny'!J36</f>
        <v>2.1000000000000014</v>
      </c>
      <c r="L50" s="107">
        <f>L37+'[1]RZiS Segment detaliczny'!K36</f>
        <v>60.6</v>
      </c>
      <c r="M50" s="107">
        <f>M37+'[1]RZiS Segment detaliczny'!L36</f>
        <v>62.9</v>
      </c>
      <c r="N50" s="107">
        <f>N37+'[1]RZiS Segment detaliczny'!M36</f>
        <v>-12.399999999999999</v>
      </c>
      <c r="O50" s="107">
        <f>O37+'[1]RZiS Segment detaliczny'!N36</f>
        <v>31.9</v>
      </c>
      <c r="P50" s="107">
        <f>P37+'[1]RZiS Segment detaliczny'!O36</f>
        <v>15.5</v>
      </c>
      <c r="Q50" s="107">
        <f>Q37+'[1]RZiS Segment detaliczny'!P36</f>
        <v>23.8</v>
      </c>
      <c r="R50" s="107">
        <f>R37+'[1]RZiS Segment detaliczny'!Q36</f>
        <v>4.2999999999999972</v>
      </c>
      <c r="S50" s="107">
        <f>S37+'[1]RZiS Segment detaliczny'!R36</f>
        <v>36.5</v>
      </c>
      <c r="T50" s="107">
        <f>T37+'[1]RZiS Segment detaliczny'!S36</f>
        <v>19.3</v>
      </c>
      <c r="U50" s="107">
        <f>U37+'[1]RZiS Segment detaliczny'!T36</f>
        <v>-21.3</v>
      </c>
      <c r="V50" s="107">
        <f>V37+'[1]RZiS Segment detaliczny'!U36</f>
        <v>5.1999999999999993</v>
      </c>
      <c r="W50" s="107">
        <f>W37+'[1]RZiS Segment detaliczny'!V36</f>
        <v>78.5</v>
      </c>
      <c r="X50" s="107">
        <f>X37+'[1]RZiS Segment detaliczny'!W36</f>
        <v>16.8</v>
      </c>
    </row>
    <row r="51" spans="1:24" hidden="1" x14ac:dyDescent="0.2">
      <c r="A51" s="3"/>
      <c r="B51" s="3"/>
      <c r="C51" s="107">
        <f>C38+'[1]RZiS Segment detaliczny'!B37</f>
        <v>12.4</v>
      </c>
      <c r="D51" s="107">
        <f>D38+'[1]RZiS Segment detaliczny'!C37</f>
        <v>10.9</v>
      </c>
      <c r="E51" s="107">
        <f>E38+'[1]RZiS Segment detaliczny'!D37</f>
        <v>9.6</v>
      </c>
      <c r="F51" s="107">
        <f>F38+'[1]RZiS Segment detaliczny'!E37</f>
        <v>10.7</v>
      </c>
      <c r="G51" s="107">
        <f>G38+'[1]RZiS Segment detaliczny'!F37</f>
        <v>11.6</v>
      </c>
      <c r="H51" s="107">
        <f>H38+'[1]RZiS Segment detaliczny'!G37</f>
        <v>14.2</v>
      </c>
      <c r="I51" s="107">
        <f>I38+'[1]RZiS Segment detaliczny'!H37</f>
        <v>13</v>
      </c>
      <c r="J51" s="107">
        <f>J38+'[1]RZiS Segment detaliczny'!I37</f>
        <v>9.4</v>
      </c>
      <c r="K51" s="107">
        <f>K38+'[1]RZiS Segment detaliczny'!J37</f>
        <v>10.1</v>
      </c>
      <c r="L51" s="107">
        <f>L38+'[1]RZiS Segment detaliczny'!K37</f>
        <v>15.5</v>
      </c>
      <c r="M51" s="107">
        <f>M38+'[1]RZiS Segment detaliczny'!L37</f>
        <v>10.4</v>
      </c>
      <c r="N51" s="107">
        <f>N38+'[1]RZiS Segment detaliczny'!M37</f>
        <v>16.100000000000001</v>
      </c>
      <c r="O51" s="107">
        <f>O38+'[1]RZiS Segment detaliczny'!N37</f>
        <v>7.3</v>
      </c>
      <c r="P51" s="107">
        <f>P38+'[1]RZiS Segment detaliczny'!O37</f>
        <v>10.9</v>
      </c>
      <c r="Q51" s="107">
        <f>Q38+'[1]RZiS Segment detaliczny'!P37</f>
        <v>10.6</v>
      </c>
      <c r="R51" s="107">
        <f>R38+'[1]RZiS Segment detaliczny'!Q37</f>
        <v>12.4</v>
      </c>
      <c r="S51" s="107">
        <f>S38+'[1]RZiS Segment detaliczny'!R37</f>
        <v>9.6999999999999993</v>
      </c>
      <c r="T51" s="107">
        <f>T38+'[1]RZiS Segment detaliczny'!S37</f>
        <v>13.2</v>
      </c>
      <c r="U51" s="107">
        <f>U38+'[1]RZiS Segment detaliczny'!T37</f>
        <v>8.1999999999999993</v>
      </c>
      <c r="V51" s="107">
        <f>V38+'[1]RZiS Segment detaliczny'!U37</f>
        <v>10.1</v>
      </c>
      <c r="W51" s="107">
        <f>W38+'[1]RZiS Segment detaliczny'!V37</f>
        <v>6.8</v>
      </c>
      <c r="X51" s="107">
        <f>X38+'[1]RZiS Segment detaliczny'!W37</f>
        <v>11.2</v>
      </c>
    </row>
    <row r="52" spans="1:24" hidden="1" x14ac:dyDescent="0.2">
      <c r="A52" s="3"/>
      <c r="B52" s="3"/>
      <c r="C52" s="111">
        <f>SUM(C53:C55)</f>
        <v>335.1</v>
      </c>
      <c r="D52" s="111">
        <f t="shared" ref="D52:X52" si="17">SUM(D53:D55)</f>
        <v>344</v>
      </c>
      <c r="E52" s="111">
        <f t="shared" si="17"/>
        <v>355.9</v>
      </c>
      <c r="F52" s="111">
        <f t="shared" si="17"/>
        <v>354.1</v>
      </c>
      <c r="G52" s="111">
        <f t="shared" si="17"/>
        <v>366.5</v>
      </c>
      <c r="H52" s="111">
        <f t="shared" si="17"/>
        <v>388.69999999999993</v>
      </c>
      <c r="I52" s="111">
        <f t="shared" si="17"/>
        <v>406.5</v>
      </c>
      <c r="J52" s="111">
        <f t="shared" si="17"/>
        <v>337.4</v>
      </c>
      <c r="K52" s="111">
        <f t="shared" si="17"/>
        <v>362.7</v>
      </c>
      <c r="L52" s="111">
        <f t="shared" si="17"/>
        <v>382.5</v>
      </c>
      <c r="M52" s="111">
        <f t="shared" si="17"/>
        <v>393.2</v>
      </c>
      <c r="N52" s="111">
        <f t="shared" si="17"/>
        <v>351.1</v>
      </c>
      <c r="O52" s="111">
        <f t="shared" si="17"/>
        <v>390.5</v>
      </c>
      <c r="P52" s="111">
        <f t="shared" si="17"/>
        <v>403.2</v>
      </c>
      <c r="Q52" s="111">
        <f t="shared" si="17"/>
        <v>407.7</v>
      </c>
      <c r="R52" s="111">
        <f t="shared" si="17"/>
        <v>392.5</v>
      </c>
      <c r="S52" s="111">
        <f t="shared" si="17"/>
        <v>408.3</v>
      </c>
      <c r="T52" s="111">
        <f t="shared" si="17"/>
        <v>422.70000000000005</v>
      </c>
      <c r="U52" s="111">
        <f t="shared" si="17"/>
        <v>422</v>
      </c>
      <c r="V52" s="111">
        <f t="shared" si="17"/>
        <v>410.6</v>
      </c>
      <c r="W52" s="111">
        <f t="shared" si="17"/>
        <v>463.90000000000003</v>
      </c>
      <c r="X52" s="111">
        <f t="shared" si="17"/>
        <v>454</v>
      </c>
    </row>
    <row r="53" spans="1:24" hidden="1" x14ac:dyDescent="0.2">
      <c r="A53" s="3"/>
      <c r="B53" s="3"/>
      <c r="C53" s="107">
        <f>C40+'[1]RZiS Segment detaliczny'!B39</f>
        <v>154.6</v>
      </c>
      <c r="D53" s="107">
        <f>D40+'[1]RZiS Segment detaliczny'!C39</f>
        <v>168.2</v>
      </c>
      <c r="E53" s="107">
        <f>E40+'[1]RZiS Segment detaliczny'!D39</f>
        <v>174.5</v>
      </c>
      <c r="F53" s="107">
        <f>F40+'[1]RZiS Segment detaliczny'!E39</f>
        <v>194.3</v>
      </c>
      <c r="G53" s="107">
        <f>G40+'[1]RZiS Segment detaliczny'!F39</f>
        <v>180.10000000000002</v>
      </c>
      <c r="H53" s="107">
        <f>H40+'[1]RZiS Segment detaliczny'!G39</f>
        <v>182.2</v>
      </c>
      <c r="I53" s="107">
        <f>I40+'[1]RZiS Segment detaliczny'!H39</f>
        <v>208.5</v>
      </c>
      <c r="J53" s="107">
        <f>J40+'[1]RZiS Segment detaliczny'!I39</f>
        <v>200.7</v>
      </c>
      <c r="K53" s="107">
        <f>K40+'[1]RZiS Segment detaliczny'!J39</f>
        <v>153</v>
      </c>
      <c r="L53" s="107">
        <f>L40+'[1]RZiS Segment detaliczny'!K39</f>
        <v>180.89999999999998</v>
      </c>
      <c r="M53" s="107">
        <f>M40+'[1]RZiS Segment detaliczny'!L39</f>
        <v>178.7</v>
      </c>
      <c r="N53" s="107">
        <f>N40+'[1]RZiS Segment detaliczny'!M39</f>
        <v>204.5</v>
      </c>
      <c r="O53" s="107">
        <f>O40+'[1]RZiS Segment detaliczny'!N39</f>
        <v>178.60000000000002</v>
      </c>
      <c r="P53" s="107">
        <f>P40+'[1]RZiS Segment detaliczny'!O39</f>
        <v>185.39999999999998</v>
      </c>
      <c r="Q53" s="107">
        <f>Q40+'[1]RZiS Segment detaliczny'!P39</f>
        <v>198.7</v>
      </c>
      <c r="R53" s="107">
        <f>R40+'[1]RZiS Segment detaliczny'!Q39</f>
        <v>248.39999999999998</v>
      </c>
      <c r="S53" s="107">
        <f>S40+'[1]RZiS Segment detaliczny'!R39</f>
        <v>199.3</v>
      </c>
      <c r="T53" s="107">
        <f>T40+'[1]RZiS Segment detaliczny'!S39</f>
        <v>208.9</v>
      </c>
      <c r="U53" s="107">
        <f>U40+'[1]RZiS Segment detaliczny'!T39</f>
        <v>210.79999999999998</v>
      </c>
      <c r="V53" s="107">
        <f>V40+'[1]RZiS Segment detaliczny'!U39</f>
        <v>214.3</v>
      </c>
      <c r="W53" s="107">
        <f>W40+'[1]RZiS Segment detaliczny'!V39</f>
        <v>228</v>
      </c>
      <c r="X53" s="107">
        <f>X40+'[1]RZiS Segment detaliczny'!W39</f>
        <v>213.1</v>
      </c>
    </row>
    <row r="54" spans="1:24" hidden="1" x14ac:dyDescent="0.2">
      <c r="A54" s="3"/>
      <c r="B54" s="3"/>
      <c r="C54" s="107">
        <f>C41+'[1]RZiS Segment detaliczny'!B40</f>
        <v>34.6</v>
      </c>
      <c r="D54" s="107">
        <f>D41+'[1]RZiS Segment detaliczny'!C40</f>
        <v>36.200000000000003</v>
      </c>
      <c r="E54" s="107">
        <f>E41+'[1]RZiS Segment detaliczny'!D40</f>
        <v>35</v>
      </c>
      <c r="F54" s="107">
        <f>F41+'[1]RZiS Segment detaliczny'!E40</f>
        <v>49</v>
      </c>
      <c r="G54" s="107">
        <f>G41+'[1]RZiS Segment detaliczny'!F40</f>
        <v>33.299999999999997</v>
      </c>
      <c r="H54" s="107">
        <f>H41+'[1]RZiS Segment detaliczny'!G40</f>
        <v>33.6</v>
      </c>
      <c r="I54" s="107">
        <f>I41+'[1]RZiS Segment detaliczny'!H40</f>
        <v>34.200000000000003</v>
      </c>
      <c r="J54" s="107">
        <f>J41+'[1]RZiS Segment detaliczny'!I40</f>
        <v>32.700000000000003</v>
      </c>
      <c r="K54" s="107">
        <f>K41+'[1]RZiS Segment detaliczny'!J40</f>
        <v>31</v>
      </c>
      <c r="L54" s="107">
        <f>L41+'[1]RZiS Segment detaliczny'!K40</f>
        <v>32</v>
      </c>
      <c r="M54" s="107">
        <f>M41+'[1]RZiS Segment detaliczny'!L40</f>
        <v>29.5</v>
      </c>
      <c r="N54" s="107">
        <f>N41+'[1]RZiS Segment detaliczny'!M40</f>
        <v>31.4</v>
      </c>
      <c r="O54" s="107">
        <f>O41+'[1]RZiS Segment detaliczny'!N40</f>
        <v>29.1</v>
      </c>
      <c r="P54" s="107">
        <f>P41+'[1]RZiS Segment detaliczny'!O40</f>
        <v>29.5</v>
      </c>
      <c r="Q54" s="107">
        <f>Q41+'[1]RZiS Segment detaliczny'!P40</f>
        <v>30.1</v>
      </c>
      <c r="R54" s="107">
        <f>R41+'[1]RZiS Segment detaliczny'!Q40</f>
        <v>32.299999999999997</v>
      </c>
      <c r="S54" s="107">
        <f>S41+'[1]RZiS Segment detaliczny'!R40</f>
        <v>30.5</v>
      </c>
      <c r="T54" s="107">
        <f>T41+'[1]RZiS Segment detaliczny'!S40</f>
        <v>31.900000000000002</v>
      </c>
      <c r="U54" s="107">
        <f>U41+'[1]RZiS Segment detaliczny'!T40</f>
        <v>34</v>
      </c>
      <c r="V54" s="107">
        <f>V41+'[1]RZiS Segment detaliczny'!U40</f>
        <v>36.200000000000003</v>
      </c>
      <c r="W54" s="107">
        <f>W41+'[1]RZiS Segment detaliczny'!V40</f>
        <v>33.6</v>
      </c>
      <c r="X54" s="107">
        <f>X41+'[1]RZiS Segment detaliczny'!W40</f>
        <v>34.700000000000003</v>
      </c>
    </row>
    <row r="55" spans="1:24" hidden="1" x14ac:dyDescent="0.2">
      <c r="A55" s="3"/>
      <c r="B55" s="3"/>
      <c r="C55" s="107">
        <f>C42+'[1]RZiS Segment detaliczny'!B41</f>
        <v>145.9</v>
      </c>
      <c r="D55" s="107">
        <f>D42+'[1]RZiS Segment detaliczny'!C41</f>
        <v>139.6</v>
      </c>
      <c r="E55" s="107">
        <f>E42+'[1]RZiS Segment detaliczny'!D41</f>
        <v>146.4</v>
      </c>
      <c r="F55" s="107">
        <f>F42+'[1]RZiS Segment detaliczny'!E41</f>
        <v>110.8</v>
      </c>
      <c r="G55" s="107">
        <f>G42+'[1]RZiS Segment detaliczny'!F41</f>
        <v>153.1</v>
      </c>
      <c r="H55" s="107">
        <f>H42+'[1]RZiS Segment detaliczny'!G41</f>
        <v>172.89999999999998</v>
      </c>
      <c r="I55" s="107">
        <f>I42+'[1]RZiS Segment detaliczny'!H41</f>
        <v>163.80000000000001</v>
      </c>
      <c r="J55" s="107">
        <f>J42+'[1]RZiS Segment detaliczny'!I41</f>
        <v>104</v>
      </c>
      <c r="K55" s="107">
        <f>K42+'[1]RZiS Segment detaliczny'!J41</f>
        <v>178.7</v>
      </c>
      <c r="L55" s="107">
        <f>L42+'[1]RZiS Segment detaliczny'!K41</f>
        <v>169.6</v>
      </c>
      <c r="M55" s="107">
        <f>M42+'[1]RZiS Segment detaliczny'!L41</f>
        <v>185</v>
      </c>
      <c r="N55" s="107">
        <f>N42+'[1]RZiS Segment detaliczny'!M41</f>
        <v>115.19999999999999</v>
      </c>
      <c r="O55" s="107">
        <f>O42+'[1]RZiS Segment detaliczny'!N41</f>
        <v>182.8</v>
      </c>
      <c r="P55" s="107">
        <f>P42+'[1]RZiS Segment detaliczny'!O41</f>
        <v>188.3</v>
      </c>
      <c r="Q55" s="107">
        <f>Q42+'[1]RZiS Segment detaliczny'!P41</f>
        <v>178.9</v>
      </c>
      <c r="R55" s="107">
        <f>R42+'[1]RZiS Segment detaliczny'!Q41</f>
        <v>111.80000000000001</v>
      </c>
      <c r="S55" s="107">
        <f>S42+'[1]RZiS Segment detaliczny'!R41</f>
        <v>178.5</v>
      </c>
      <c r="T55" s="107">
        <f>T42+'[1]RZiS Segment detaliczny'!S41</f>
        <v>181.9</v>
      </c>
      <c r="U55" s="107">
        <f>U42+'[1]RZiS Segment detaliczny'!T41</f>
        <v>177.2</v>
      </c>
      <c r="V55" s="107">
        <f>V42+'[1]RZiS Segment detaliczny'!U41</f>
        <v>160.1</v>
      </c>
      <c r="W55" s="107">
        <f>W42+'[1]RZiS Segment detaliczny'!V41</f>
        <v>202.3</v>
      </c>
      <c r="X55" s="107">
        <f>X42+'[1]RZiS Segment detaliczny'!W41</f>
        <v>206.2</v>
      </c>
    </row>
    <row r="56" spans="1:24" hidden="1" x14ac:dyDescent="0.2">
      <c r="A56" s="3"/>
      <c r="B56" s="3"/>
      <c r="C56" s="111">
        <f>C47-C52</f>
        <v>203.09999999999991</v>
      </c>
      <c r="D56" s="111">
        <f t="shared" ref="D56:X56" si="18">D47-D52</f>
        <v>177.20000000000005</v>
      </c>
      <c r="E56" s="111">
        <f t="shared" si="18"/>
        <v>185.40000000000009</v>
      </c>
      <c r="F56" s="111">
        <f t="shared" si="18"/>
        <v>118.10000000000002</v>
      </c>
      <c r="G56" s="111">
        <f t="shared" si="18"/>
        <v>215</v>
      </c>
      <c r="H56" s="111">
        <f t="shared" si="18"/>
        <v>235.80000000000018</v>
      </c>
      <c r="I56" s="111">
        <f t="shared" si="18"/>
        <v>212.5</v>
      </c>
      <c r="J56" s="111">
        <f t="shared" si="18"/>
        <v>-34.700000000000045</v>
      </c>
      <c r="K56" s="111">
        <f t="shared" si="18"/>
        <v>194.60000000000008</v>
      </c>
      <c r="L56" s="111">
        <f t="shared" si="18"/>
        <v>302.5</v>
      </c>
      <c r="M56" s="111">
        <f t="shared" si="18"/>
        <v>311.09999999999997</v>
      </c>
      <c r="N56" s="111">
        <f t="shared" si="18"/>
        <v>234.5</v>
      </c>
      <c r="O56" s="111">
        <f t="shared" si="18"/>
        <v>267.59999999999991</v>
      </c>
      <c r="P56" s="111">
        <f t="shared" si="18"/>
        <v>275.39999999999992</v>
      </c>
      <c r="Q56" s="111">
        <f t="shared" si="18"/>
        <v>292.49999999999994</v>
      </c>
      <c r="R56" s="111">
        <f t="shared" si="18"/>
        <v>302.19999999999993</v>
      </c>
      <c r="S56" s="111">
        <f t="shared" si="18"/>
        <v>324.2</v>
      </c>
      <c r="T56" s="111">
        <f t="shared" si="18"/>
        <v>327.69999999999993</v>
      </c>
      <c r="U56" s="111">
        <f t="shared" si="18"/>
        <v>303.70000000000005</v>
      </c>
      <c r="V56" s="111">
        <f t="shared" si="18"/>
        <v>334.40000000000009</v>
      </c>
      <c r="W56" s="111">
        <f t="shared" si="18"/>
        <v>381.89999999999992</v>
      </c>
      <c r="X56" s="111">
        <f t="shared" si="18"/>
        <v>338.5</v>
      </c>
    </row>
    <row r="57" spans="1:24" hidden="1" x14ac:dyDescent="0.2">
      <c r="A57" s="3"/>
      <c r="B57" s="3"/>
      <c r="C57" s="107">
        <f>C44+'[1]RZiS Segment detaliczny'!B43</f>
        <v>-6.3</v>
      </c>
      <c r="D57" s="107">
        <f>D44+'[1]RZiS Segment detaliczny'!C43</f>
        <v>-26.700000000000003</v>
      </c>
      <c r="E57" s="107">
        <f>E44+'[1]RZiS Segment detaliczny'!D43</f>
        <v>-64.400000000000006</v>
      </c>
      <c r="F57" s="107">
        <f>F44+'[1]RZiS Segment detaliczny'!E43</f>
        <v>-5.8000000000000007</v>
      </c>
      <c r="G57" s="107">
        <f>G44+'[1]RZiS Segment detaliczny'!F43</f>
        <v>0.69999999999999973</v>
      </c>
      <c r="H57" s="107">
        <f>H44+'[1]RZiS Segment detaliczny'!G43</f>
        <v>-58.8</v>
      </c>
      <c r="I57" s="107">
        <f>I44+'[1]RZiS Segment detaliczny'!H43</f>
        <v>7.2</v>
      </c>
      <c r="J57" s="107">
        <f>J44+'[1]RZiS Segment detaliczny'!I43</f>
        <v>116.5</v>
      </c>
      <c r="K57" s="107">
        <f>K44+'[1]RZiS Segment detaliczny'!J43</f>
        <v>91.7</v>
      </c>
      <c r="L57" s="107">
        <f>L44+'[1]RZiS Segment detaliczny'!K43</f>
        <v>73.8</v>
      </c>
      <c r="M57" s="107">
        <f>M44+'[1]RZiS Segment detaliczny'!L43</f>
        <v>54.1</v>
      </c>
      <c r="N57" s="107">
        <f>N44+'[1]RZiS Segment detaliczny'!M43</f>
        <v>84.8</v>
      </c>
      <c r="O57" s="107">
        <f>O44+'[1]RZiS Segment detaliczny'!N43</f>
        <v>48.099999999999994</v>
      </c>
      <c r="P57" s="107">
        <f>P44+'[1]RZiS Segment detaliczny'!O43</f>
        <v>39.200000000000003</v>
      </c>
      <c r="Q57" s="107">
        <f>Q44+'[1]RZiS Segment detaliczny'!P43</f>
        <v>55.099999999999994</v>
      </c>
      <c r="R57" s="107">
        <f>R44+'[1]RZiS Segment detaliczny'!Q43</f>
        <v>61.2</v>
      </c>
      <c r="S57" s="107">
        <f>S44+'[1]RZiS Segment detaliczny'!R43</f>
        <v>57.099999999999994</v>
      </c>
      <c r="T57" s="107">
        <f>T44+'[1]RZiS Segment detaliczny'!S43</f>
        <v>37.700000000000003</v>
      </c>
      <c r="U57" s="107">
        <f>U44+'[1]RZiS Segment detaliczny'!T43</f>
        <v>27.1</v>
      </c>
      <c r="V57" s="107">
        <f>V44+'[1]RZiS Segment detaliczny'!U43</f>
        <v>50.5</v>
      </c>
      <c r="W57" s="107">
        <f>W44+'[1]RZiS Segment detaliczny'!V43</f>
        <v>64.3</v>
      </c>
      <c r="X57" s="107">
        <f>X44+'[1]RZiS Segment detaliczny'!W43</f>
        <v>131.19999999999999</v>
      </c>
    </row>
    <row r="58" spans="1:24" hidden="1" x14ac:dyDescent="0.2">
      <c r="A58" s="3"/>
      <c r="B58" s="3"/>
      <c r="C58" s="111">
        <f>C56-C57</f>
        <v>209.39999999999992</v>
      </c>
      <c r="D58" s="111">
        <f t="shared" ref="D58:X58" si="19">D56-D57</f>
        <v>203.90000000000003</v>
      </c>
      <c r="E58" s="111">
        <f t="shared" si="19"/>
        <v>249.8000000000001</v>
      </c>
      <c r="F58" s="111">
        <f t="shared" si="19"/>
        <v>123.90000000000002</v>
      </c>
      <c r="G58" s="111">
        <f t="shared" si="19"/>
        <v>214.3</v>
      </c>
      <c r="H58" s="111">
        <f t="shared" si="19"/>
        <v>294.60000000000019</v>
      </c>
      <c r="I58" s="111">
        <f t="shared" si="19"/>
        <v>205.3</v>
      </c>
      <c r="J58" s="111">
        <f t="shared" si="19"/>
        <v>-151.20000000000005</v>
      </c>
      <c r="K58" s="111">
        <f t="shared" si="19"/>
        <v>102.90000000000008</v>
      </c>
      <c r="L58" s="111">
        <f t="shared" si="19"/>
        <v>228.7</v>
      </c>
      <c r="M58" s="111">
        <f t="shared" si="19"/>
        <v>256.99999999999994</v>
      </c>
      <c r="N58" s="111">
        <f t="shared" si="19"/>
        <v>149.69999999999999</v>
      </c>
      <c r="O58" s="111">
        <f t="shared" si="19"/>
        <v>219.49999999999991</v>
      </c>
      <c r="P58" s="111">
        <f t="shared" si="19"/>
        <v>236.19999999999993</v>
      </c>
      <c r="Q58" s="111">
        <f t="shared" si="19"/>
        <v>237.39999999999995</v>
      </c>
      <c r="R58" s="111">
        <f t="shared" si="19"/>
        <v>240.99999999999994</v>
      </c>
      <c r="S58" s="111">
        <f t="shared" si="19"/>
        <v>267.10000000000002</v>
      </c>
      <c r="T58" s="111">
        <f t="shared" si="19"/>
        <v>289.99999999999994</v>
      </c>
      <c r="U58" s="111">
        <f t="shared" si="19"/>
        <v>276.60000000000002</v>
      </c>
      <c r="V58" s="111">
        <f t="shared" si="19"/>
        <v>283.90000000000009</v>
      </c>
      <c r="W58" s="111">
        <f t="shared" si="19"/>
        <v>317.59999999999991</v>
      </c>
      <c r="X58" s="111">
        <f t="shared" si="19"/>
        <v>207.3</v>
      </c>
    </row>
    <row r="59" spans="1:24" hidden="1" x14ac:dyDescent="0.2">
      <c r="A59" s="3"/>
      <c r="B59" s="3"/>
    </row>
    <row r="60" spans="1:24" hidden="1" x14ac:dyDescent="0.2">
      <c r="A60" s="114"/>
      <c r="B60" s="114" t="s">
        <v>584</v>
      </c>
      <c r="C60" s="115">
        <f>SUM(C61:C64)</f>
        <v>0</v>
      </c>
      <c r="D60" s="115">
        <f t="shared" ref="D60:X60" si="20">SUM(D61:D64)</f>
        <v>0</v>
      </c>
      <c r="E60" s="115">
        <f t="shared" si="20"/>
        <v>8.8817841970012523E-15</v>
      </c>
      <c r="F60" s="115">
        <f t="shared" si="20"/>
        <v>-2.9309887850104133E-14</v>
      </c>
      <c r="G60" s="115">
        <f t="shared" si="20"/>
        <v>0</v>
      </c>
      <c r="H60" s="115">
        <f t="shared" si="20"/>
        <v>0</v>
      </c>
      <c r="I60" s="115">
        <f t="shared" si="20"/>
        <v>-1.7763568394002505E-15</v>
      </c>
      <c r="J60" s="115">
        <f t="shared" si="20"/>
        <v>-4.2632564145606011E-14</v>
      </c>
      <c r="K60" s="115">
        <f t="shared" si="20"/>
        <v>0</v>
      </c>
      <c r="L60" s="115">
        <f t="shared" si="20"/>
        <v>0</v>
      </c>
      <c r="M60" s="115">
        <f t="shared" si="20"/>
        <v>0</v>
      </c>
      <c r="N60" s="115">
        <f t="shared" si="20"/>
        <v>0</v>
      </c>
      <c r="O60" s="115">
        <f t="shared" si="20"/>
        <v>0</v>
      </c>
      <c r="P60" s="115">
        <f t="shared" si="20"/>
        <v>0</v>
      </c>
      <c r="Q60" s="115">
        <f t="shared" si="20"/>
        <v>0</v>
      </c>
      <c r="R60" s="115">
        <f t="shared" si="20"/>
        <v>0</v>
      </c>
      <c r="S60" s="115">
        <f t="shared" si="20"/>
        <v>0</v>
      </c>
      <c r="T60" s="115">
        <f t="shared" si="20"/>
        <v>0</v>
      </c>
      <c r="U60" s="115">
        <f t="shared" si="20"/>
        <v>0</v>
      </c>
      <c r="V60" s="115">
        <f t="shared" si="20"/>
        <v>0</v>
      </c>
      <c r="W60" s="115">
        <f t="shared" si="20"/>
        <v>-4.4408920985006262E-15</v>
      </c>
      <c r="X60" s="115">
        <f t="shared" si="20"/>
        <v>0</v>
      </c>
    </row>
    <row r="61" spans="1:24" hidden="1" x14ac:dyDescent="0.2">
      <c r="A61" s="116"/>
      <c r="B61" s="116"/>
      <c r="C61" s="117">
        <f>C48-[1]RZiS!B6</f>
        <v>0</v>
      </c>
      <c r="D61" s="117">
        <f>D48-[1]RZiS!C6</f>
        <v>0</v>
      </c>
      <c r="E61" s="117">
        <f>E48-[1]RZiS!D6</f>
        <v>0</v>
      </c>
      <c r="F61" s="117">
        <f>F48-[1]RZiS!E6</f>
        <v>0</v>
      </c>
      <c r="G61" s="117">
        <f>G48-[1]RZiS!F6</f>
        <v>0</v>
      </c>
      <c r="H61" s="117">
        <f>H48-[1]RZiS!G6</f>
        <v>0</v>
      </c>
      <c r="I61" s="117">
        <f>I48-[1]RZiS!H6</f>
        <v>0</v>
      </c>
      <c r="J61" s="117">
        <f>J48-[1]RZiS!I6</f>
        <v>0</v>
      </c>
      <c r="K61" s="117">
        <f>K48-[1]RZiS!J6</f>
        <v>0</v>
      </c>
      <c r="L61" s="117">
        <f>L48-[1]RZiS!K6</f>
        <v>0</v>
      </c>
      <c r="M61" s="117">
        <f>M48-[1]RZiS!L6</f>
        <v>0</v>
      </c>
      <c r="N61" s="117">
        <f>N48-[1]RZiS!M6</f>
        <v>0</v>
      </c>
      <c r="O61" s="117">
        <f>O48-[1]RZiS!N6</f>
        <v>0</v>
      </c>
      <c r="P61" s="117">
        <f>P48-[1]RZiS!O6</f>
        <v>0</v>
      </c>
      <c r="Q61" s="117">
        <f>Q48-[1]RZiS!P6</f>
        <v>0</v>
      </c>
      <c r="R61" s="117">
        <f>R48-[1]RZiS!Q6</f>
        <v>0</v>
      </c>
      <c r="S61" s="117">
        <f>S48-[1]RZiS!R6</f>
        <v>0</v>
      </c>
      <c r="T61" s="117">
        <f>T48-[1]RZiS!S6</f>
        <v>0</v>
      </c>
      <c r="U61" s="117">
        <f>U48-[1]RZiS!T6</f>
        <v>0</v>
      </c>
      <c r="V61" s="117">
        <f>V48-[1]RZiS!U6</f>
        <v>0</v>
      </c>
      <c r="W61" s="117">
        <f>W48-[1]RZiS!V6</f>
        <v>0</v>
      </c>
      <c r="X61" s="117">
        <f>X48-[1]RZiS!W6</f>
        <v>0</v>
      </c>
    </row>
    <row r="62" spans="1:24" hidden="1" x14ac:dyDescent="0.2">
      <c r="A62" s="116"/>
      <c r="B62" s="116"/>
      <c r="C62" s="117">
        <f>C49-[1]RZiS!B9</f>
        <v>0</v>
      </c>
      <c r="D62" s="117">
        <f>D49-[1]RZiS!C9</f>
        <v>0</v>
      </c>
      <c r="E62" s="117">
        <f>E49-[1]RZiS!D9</f>
        <v>0</v>
      </c>
      <c r="F62" s="117">
        <f>F49-[1]RZiS!E9</f>
        <v>0</v>
      </c>
      <c r="G62" s="117">
        <f>G49-[1]RZiS!F9</f>
        <v>0</v>
      </c>
      <c r="H62" s="117">
        <f>H49-[1]RZiS!G9</f>
        <v>0</v>
      </c>
      <c r="I62" s="117">
        <f>I49-[1]RZiS!H9</f>
        <v>0</v>
      </c>
      <c r="J62" s="117">
        <f>J49-[1]RZiS!I9</f>
        <v>0</v>
      </c>
      <c r="K62" s="117">
        <f>K49-[1]RZiS!J9</f>
        <v>0</v>
      </c>
      <c r="L62" s="117">
        <f>L49-[1]RZiS!K9</f>
        <v>0</v>
      </c>
      <c r="M62" s="117">
        <f>M49-[1]RZiS!L9</f>
        <v>0</v>
      </c>
      <c r="N62" s="117">
        <f>N49-[1]RZiS!M9</f>
        <v>0</v>
      </c>
      <c r="O62" s="117">
        <f>O49-[1]RZiS!N9</f>
        <v>0</v>
      </c>
      <c r="P62" s="117">
        <f>P49-[1]RZiS!O9</f>
        <v>0</v>
      </c>
      <c r="Q62" s="117">
        <f>Q49-[1]RZiS!P9</f>
        <v>0</v>
      </c>
      <c r="R62" s="117">
        <f>R49-[1]RZiS!Q9</f>
        <v>0</v>
      </c>
      <c r="S62" s="117">
        <f>S49-[1]RZiS!R9</f>
        <v>0</v>
      </c>
      <c r="T62" s="117">
        <f>T49-[1]RZiS!S9</f>
        <v>0</v>
      </c>
      <c r="U62" s="117">
        <f>U49-[1]RZiS!T9</f>
        <v>0</v>
      </c>
      <c r="V62" s="117">
        <f>V49-[1]RZiS!U9</f>
        <v>0</v>
      </c>
      <c r="W62" s="117">
        <f>W49-[1]RZiS!V9</f>
        <v>0</v>
      </c>
      <c r="X62" s="117">
        <f>X49-[1]RZiS!W9</f>
        <v>0</v>
      </c>
    </row>
    <row r="63" spans="1:24" hidden="1" x14ac:dyDescent="0.2">
      <c r="A63" s="116"/>
      <c r="B63" s="116"/>
      <c r="C63" s="117">
        <f>C50-[1]RZiS!B10-[1]RZiS!B11-[1]RZiS!B12-[1]RZiS!B13</f>
        <v>0</v>
      </c>
      <c r="D63" s="117">
        <f>D50-[1]RZiS!C10-[1]RZiS!C11-[1]RZiS!C12-[1]RZiS!C13</f>
        <v>0</v>
      </c>
      <c r="E63" s="117">
        <f>E50-[1]RZiS!D10-[1]RZiS!D11-[1]RZiS!D12-[1]RZiS!D13</f>
        <v>8.8817841970012523E-15</v>
      </c>
      <c r="F63" s="117">
        <f>F50-[1]RZiS!E10-[1]RZiS!E11-[1]RZiS!E12-[1]RZiS!E13</f>
        <v>-2.9309887850104133E-14</v>
      </c>
      <c r="G63" s="117">
        <f>G50-[1]RZiS!F10-[1]RZiS!F11-[1]RZiS!F12-[1]RZiS!F13</f>
        <v>0</v>
      </c>
      <c r="H63" s="117">
        <f>H50-[1]RZiS!G10-[1]RZiS!G11-[1]RZiS!G12-[1]RZiS!G13</f>
        <v>0</v>
      </c>
      <c r="I63" s="117">
        <f>I50-[1]RZiS!H10-[1]RZiS!H11-[1]RZiS!H12-[1]RZiS!H13</f>
        <v>-1.7763568394002505E-15</v>
      </c>
      <c r="J63" s="117">
        <f>J50-[1]RZiS!I10-[1]RZiS!I11-[1]RZiS!I12-[1]RZiS!I13</f>
        <v>-4.2632564145606011E-14</v>
      </c>
      <c r="K63" s="117">
        <f>K50-[1]RZiS!J10-[1]RZiS!J11-[1]RZiS!J12-[1]RZiS!J13</f>
        <v>0</v>
      </c>
      <c r="L63" s="117">
        <f>L50-[1]RZiS!K10-[1]RZiS!K11-[1]RZiS!K12-[1]RZiS!K13</f>
        <v>0</v>
      </c>
      <c r="M63" s="117">
        <f>M50-[1]RZiS!L10-[1]RZiS!L11-[1]RZiS!L12-[1]RZiS!L13</f>
        <v>0</v>
      </c>
      <c r="N63" s="117">
        <f>N50-[1]RZiS!M10-[1]RZiS!M11-[1]RZiS!M12-[1]RZiS!M13</f>
        <v>0</v>
      </c>
      <c r="O63" s="117">
        <f>O50-[1]RZiS!N10-[1]RZiS!N11-[1]RZiS!N12-[1]RZiS!N13</f>
        <v>0</v>
      </c>
      <c r="P63" s="117">
        <f>P50-[1]RZiS!O10-[1]RZiS!O11-[1]RZiS!O12-[1]RZiS!O13</f>
        <v>0</v>
      </c>
      <c r="Q63" s="117">
        <f>Q50-[1]RZiS!P10-[1]RZiS!P11-[1]RZiS!P12-[1]RZiS!P13</f>
        <v>0</v>
      </c>
      <c r="R63" s="117">
        <f>R50-[1]RZiS!Q10-[1]RZiS!Q11-[1]RZiS!Q12-[1]RZiS!Q13</f>
        <v>0</v>
      </c>
      <c r="S63" s="117">
        <f>S50-[1]RZiS!R10-[1]RZiS!R11-[1]RZiS!R12-[1]RZiS!R13</f>
        <v>0</v>
      </c>
      <c r="T63" s="117">
        <f>T50-[1]RZiS!S10-[1]RZiS!S11-[1]RZiS!S12-[1]RZiS!S13</f>
        <v>0</v>
      </c>
      <c r="U63" s="117">
        <f>U50-[1]RZiS!T10-[1]RZiS!T11-[1]RZiS!T12-[1]RZiS!T13</f>
        <v>0</v>
      </c>
      <c r="V63" s="117">
        <f>V50-[1]RZiS!U10-[1]RZiS!U11-[1]RZiS!U12-[1]RZiS!U13</f>
        <v>0</v>
      </c>
      <c r="W63" s="117">
        <f>W50-[1]RZiS!V10-[1]RZiS!V11-[1]RZiS!V12-[1]RZiS!V13</f>
        <v>-4.4408920985006262E-15</v>
      </c>
      <c r="X63" s="117">
        <f>X50-[1]RZiS!W10-[1]RZiS!W11-[1]RZiS!W12-[1]RZiS!W13</f>
        <v>0</v>
      </c>
    </row>
    <row r="64" spans="1:24" hidden="1" x14ac:dyDescent="0.2">
      <c r="A64" s="116"/>
      <c r="B64" s="116"/>
      <c r="C64" s="117">
        <f>C51-[1]RZiS!B21</f>
        <v>0</v>
      </c>
      <c r="D64" s="117">
        <f>D51-[1]RZiS!C21</f>
        <v>0</v>
      </c>
      <c r="E64" s="117">
        <f>E51-[1]RZiS!D21</f>
        <v>0</v>
      </c>
      <c r="F64" s="117">
        <f>F51-[1]RZiS!E21</f>
        <v>0</v>
      </c>
      <c r="G64" s="117">
        <f>G51-[1]RZiS!F21</f>
        <v>0</v>
      </c>
      <c r="H64" s="117">
        <f>H51-[1]RZiS!G21</f>
        <v>0</v>
      </c>
      <c r="I64" s="117">
        <f>I51-[1]RZiS!H21</f>
        <v>0</v>
      </c>
      <c r="J64" s="117">
        <f>J51-[1]RZiS!I21</f>
        <v>0</v>
      </c>
      <c r="K64" s="117">
        <f>K51-[1]RZiS!J21</f>
        <v>0</v>
      </c>
      <c r="L64" s="117">
        <f>L51-[1]RZiS!K21</f>
        <v>0</v>
      </c>
      <c r="M64" s="117">
        <f>M51-[1]RZiS!L21</f>
        <v>0</v>
      </c>
      <c r="N64" s="117">
        <f>N51-[1]RZiS!M21</f>
        <v>0</v>
      </c>
      <c r="O64" s="117">
        <f>O51-[1]RZiS!N21</f>
        <v>0</v>
      </c>
      <c r="P64" s="117">
        <f>P51-[1]RZiS!O21</f>
        <v>0</v>
      </c>
      <c r="Q64" s="117">
        <f>Q51-[1]RZiS!P21</f>
        <v>0</v>
      </c>
      <c r="R64" s="117">
        <f>R51-[1]RZiS!Q21</f>
        <v>0</v>
      </c>
      <c r="S64" s="117">
        <f>S51-[1]RZiS!R21</f>
        <v>0</v>
      </c>
      <c r="T64" s="117">
        <f>T51-[1]RZiS!S21</f>
        <v>0</v>
      </c>
      <c r="U64" s="117">
        <f>U51-[1]RZiS!T21</f>
        <v>0</v>
      </c>
      <c r="V64" s="117">
        <f>V51-[1]RZiS!U21</f>
        <v>0</v>
      </c>
      <c r="W64" s="117">
        <f>W51-[1]RZiS!V21</f>
        <v>0</v>
      </c>
      <c r="X64" s="117">
        <f>X51-[1]RZiS!W21</f>
        <v>0</v>
      </c>
    </row>
    <row r="65" spans="1:24" hidden="1" x14ac:dyDescent="0.2">
      <c r="A65" s="116"/>
      <c r="B65" s="116"/>
      <c r="C65" s="115">
        <f>SUM(C66:C68)</f>
        <v>1.7097434579227411E-14</v>
      </c>
      <c r="D65" s="115">
        <f t="shared" ref="D65:X65" si="21">SUM(D66:D68)</f>
        <v>-1.1324274851176597E-14</v>
      </c>
      <c r="E65" s="115">
        <f t="shared" si="21"/>
        <v>0</v>
      </c>
      <c r="F65" s="115">
        <f t="shared" si="21"/>
        <v>0</v>
      </c>
      <c r="G65" s="115">
        <f t="shared" si="21"/>
        <v>-5.773159728050814E-15</v>
      </c>
      <c r="H65" s="115">
        <f t="shared" si="21"/>
        <v>-2.2648549702353193E-14</v>
      </c>
      <c r="I65" s="115">
        <f t="shared" si="21"/>
        <v>1.1546319456101628E-14</v>
      </c>
      <c r="J65" s="115">
        <f t="shared" si="21"/>
        <v>0</v>
      </c>
      <c r="K65" s="115">
        <f t="shared" si="21"/>
        <v>0</v>
      </c>
      <c r="L65" s="115">
        <f t="shared" si="21"/>
        <v>-1.1324274851176597E-14</v>
      </c>
      <c r="M65" s="115">
        <f t="shared" si="21"/>
        <v>-1.1379786002407855E-14</v>
      </c>
      <c r="N65" s="115">
        <f t="shared" si="21"/>
        <v>-2.886579864025407E-15</v>
      </c>
      <c r="O65" s="115">
        <f t="shared" si="21"/>
        <v>0</v>
      </c>
      <c r="P65" s="115">
        <f t="shared" si="21"/>
        <v>1.7041923427996153E-14</v>
      </c>
      <c r="Q65" s="115">
        <f t="shared" si="21"/>
        <v>0</v>
      </c>
      <c r="R65" s="115">
        <f t="shared" si="21"/>
        <v>1.4210854715202004E-14</v>
      </c>
      <c r="S65" s="115">
        <f t="shared" si="21"/>
        <v>-5.6621374255882984E-15</v>
      </c>
      <c r="T65" s="115">
        <f t="shared" si="21"/>
        <v>5.773159728050814E-15</v>
      </c>
      <c r="U65" s="115">
        <f t="shared" si="21"/>
        <v>-5.6898930012039273E-15</v>
      </c>
      <c r="V65" s="115">
        <f t="shared" si="21"/>
        <v>-5.773159728050814E-15</v>
      </c>
      <c r="W65" s="115">
        <f t="shared" si="21"/>
        <v>0</v>
      </c>
      <c r="X65" s="115">
        <f t="shared" si="21"/>
        <v>-1.1546319456101628E-14</v>
      </c>
    </row>
    <row r="66" spans="1:24" hidden="1" x14ac:dyDescent="0.2">
      <c r="A66" s="116"/>
      <c r="B66" s="116"/>
      <c r="C66" s="117">
        <f>C53-[1]RZiS!B16</f>
        <v>0</v>
      </c>
      <c r="D66" s="117">
        <f>D53-[1]RZiS!C16</f>
        <v>0</v>
      </c>
      <c r="E66" s="117">
        <f>E53-[1]RZiS!D16</f>
        <v>0</v>
      </c>
      <c r="F66" s="117">
        <f>F53-[1]RZiS!E16</f>
        <v>0</v>
      </c>
      <c r="G66" s="117">
        <f>G53-[1]RZiS!F16</f>
        <v>0</v>
      </c>
      <c r="H66" s="117">
        <f>H53-[1]RZiS!G16</f>
        <v>0</v>
      </c>
      <c r="I66" s="117">
        <f>I53-[1]RZiS!H16</f>
        <v>0</v>
      </c>
      <c r="J66" s="117">
        <f>J53-[1]RZiS!I16</f>
        <v>0</v>
      </c>
      <c r="K66" s="117">
        <f>K53-[1]RZiS!J16</f>
        <v>0</v>
      </c>
      <c r="L66" s="117">
        <f>L53-[1]RZiS!K16</f>
        <v>0</v>
      </c>
      <c r="M66" s="117">
        <f>M53-[1]RZiS!L16</f>
        <v>0</v>
      </c>
      <c r="N66" s="117">
        <f>N53-[1]RZiS!M16</f>
        <v>0</v>
      </c>
      <c r="O66" s="117">
        <f>O53-[1]RZiS!N16</f>
        <v>0</v>
      </c>
      <c r="P66" s="117">
        <f>P53-[1]RZiS!O16</f>
        <v>0</v>
      </c>
      <c r="Q66" s="117">
        <f>Q53-[1]RZiS!P16</f>
        <v>0</v>
      </c>
      <c r="R66" s="117">
        <f>R53-[1]RZiS!Q16</f>
        <v>0</v>
      </c>
      <c r="S66" s="117">
        <f>S53-[1]RZiS!R16</f>
        <v>0</v>
      </c>
      <c r="T66" s="117">
        <f>T53-[1]RZiS!S16</f>
        <v>0</v>
      </c>
      <c r="U66" s="117">
        <f>U53-[1]RZiS!T16</f>
        <v>0</v>
      </c>
      <c r="V66" s="117">
        <f>V53-[1]RZiS!U16</f>
        <v>0</v>
      </c>
      <c r="W66" s="117">
        <f>W53-[1]RZiS!V16</f>
        <v>0</v>
      </c>
      <c r="X66" s="117">
        <f>X53-[1]RZiS!W16</f>
        <v>0</v>
      </c>
    </row>
    <row r="67" spans="1:24" hidden="1" x14ac:dyDescent="0.2">
      <c r="A67" s="116"/>
      <c r="B67" s="116"/>
      <c r="C67" s="117">
        <f>C54-[1]RZiS!B17</f>
        <v>0</v>
      </c>
      <c r="D67" s="117">
        <f>D54-[1]RZiS!C17</f>
        <v>0</v>
      </c>
      <c r="E67" s="117">
        <f>E54-[1]RZiS!D17</f>
        <v>0</v>
      </c>
      <c r="F67" s="117">
        <f>F54-[1]RZiS!E17</f>
        <v>0</v>
      </c>
      <c r="G67" s="117">
        <f>G54-[1]RZiS!F17</f>
        <v>0</v>
      </c>
      <c r="H67" s="117">
        <f>H54-[1]RZiS!G17</f>
        <v>0</v>
      </c>
      <c r="I67" s="117">
        <f>I54-[1]RZiS!H17</f>
        <v>0</v>
      </c>
      <c r="J67" s="117">
        <f>J54-[1]RZiS!I17</f>
        <v>0</v>
      </c>
      <c r="K67" s="117">
        <f>K54-[1]RZiS!J17</f>
        <v>0</v>
      </c>
      <c r="L67" s="117">
        <f>L54-[1]RZiS!K17</f>
        <v>0</v>
      </c>
      <c r="M67" s="117">
        <f>M54-[1]RZiS!L17</f>
        <v>0</v>
      </c>
      <c r="N67" s="117">
        <f>N54-[1]RZiS!M17</f>
        <v>0</v>
      </c>
      <c r="O67" s="117">
        <f>O54-[1]RZiS!N17</f>
        <v>0</v>
      </c>
      <c r="P67" s="117">
        <f>P54-[1]RZiS!O17</f>
        <v>0</v>
      </c>
      <c r="Q67" s="117">
        <f>Q54-[1]RZiS!P17</f>
        <v>0</v>
      </c>
      <c r="R67" s="117">
        <f>R54-[1]RZiS!Q17</f>
        <v>0</v>
      </c>
      <c r="S67" s="117">
        <f>S54-[1]RZiS!R17</f>
        <v>0</v>
      </c>
      <c r="T67" s="117">
        <f>T54-[1]RZiS!S17</f>
        <v>0</v>
      </c>
      <c r="U67" s="117">
        <f>U54-[1]RZiS!T17</f>
        <v>0</v>
      </c>
      <c r="V67" s="117">
        <f>V54-[1]RZiS!U17</f>
        <v>0</v>
      </c>
      <c r="W67" s="117">
        <f>W54-[1]RZiS!V17</f>
        <v>0</v>
      </c>
      <c r="X67" s="117">
        <f>X54-[1]RZiS!W17</f>
        <v>0</v>
      </c>
    </row>
    <row r="68" spans="1:24" hidden="1" x14ac:dyDescent="0.2">
      <c r="A68" s="116"/>
      <c r="B68" s="116"/>
      <c r="C68" s="117">
        <f>C55-[1]RZiS!B18+[1]RZiS!B19</f>
        <v>1.7097434579227411E-14</v>
      </c>
      <c r="D68" s="117">
        <f>D55-[1]RZiS!C18+[1]RZiS!C19</f>
        <v>-1.1324274851176597E-14</v>
      </c>
      <c r="E68" s="117">
        <f>E55-[1]RZiS!D18+[1]RZiS!D19</f>
        <v>0</v>
      </c>
      <c r="F68" s="117">
        <f>F55-[1]RZiS!E18+[1]RZiS!E19</f>
        <v>0</v>
      </c>
      <c r="G68" s="117">
        <f>G55-[1]RZiS!F18+[1]RZiS!F19</f>
        <v>-5.773159728050814E-15</v>
      </c>
      <c r="H68" s="117">
        <f>H55-[1]RZiS!G18+[1]RZiS!G19</f>
        <v>-2.2648549702353193E-14</v>
      </c>
      <c r="I68" s="117">
        <f>I55-[1]RZiS!H18+[1]RZiS!H19</f>
        <v>1.1546319456101628E-14</v>
      </c>
      <c r="J68" s="117">
        <f>J55-[1]RZiS!I18+[1]RZiS!I19</f>
        <v>0</v>
      </c>
      <c r="K68" s="117">
        <f>K55-[1]RZiS!J18+[1]RZiS!J19</f>
        <v>0</v>
      </c>
      <c r="L68" s="117">
        <f>L55-[1]RZiS!K18+[1]RZiS!K19</f>
        <v>-1.1324274851176597E-14</v>
      </c>
      <c r="M68" s="117">
        <f>M55-[1]RZiS!L18+[1]RZiS!L19</f>
        <v>-1.1379786002407855E-14</v>
      </c>
      <c r="N68" s="117">
        <f>N55-[1]RZiS!M18+[1]RZiS!M19</f>
        <v>-2.886579864025407E-15</v>
      </c>
      <c r="O68" s="117">
        <f>O55-[1]RZiS!N18+[1]RZiS!N19</f>
        <v>0</v>
      </c>
      <c r="P68" s="117">
        <f>P55-[1]RZiS!O18+[1]RZiS!O19</f>
        <v>1.7041923427996153E-14</v>
      </c>
      <c r="Q68" s="117">
        <f>Q55-[1]RZiS!P18+[1]RZiS!P19</f>
        <v>0</v>
      </c>
      <c r="R68" s="117">
        <f>R55-[1]RZiS!Q18+[1]RZiS!Q19</f>
        <v>1.4210854715202004E-14</v>
      </c>
      <c r="S68" s="117">
        <f>S55-[1]RZiS!R18+[1]RZiS!R19</f>
        <v>-5.6621374255882984E-15</v>
      </c>
      <c r="T68" s="117">
        <f>T55-[1]RZiS!S18+[1]RZiS!S19</f>
        <v>5.773159728050814E-15</v>
      </c>
      <c r="U68" s="117">
        <f>U55-[1]RZiS!T18+[1]RZiS!T19</f>
        <v>-5.6898930012039273E-15</v>
      </c>
      <c r="V68" s="117">
        <f>V55-[1]RZiS!U18+[1]RZiS!U19</f>
        <v>-5.773159728050814E-15</v>
      </c>
      <c r="W68" s="117">
        <f>W55-[1]RZiS!V18+[1]RZiS!V19</f>
        <v>0</v>
      </c>
      <c r="X68" s="117">
        <f>X55-[1]RZiS!W18+[1]RZiS!W19</f>
        <v>-1.1546319456101628E-14</v>
      </c>
    </row>
    <row r="69" spans="1:24" hidden="1" x14ac:dyDescent="0.2">
      <c r="A69" s="116"/>
      <c r="B69" s="116"/>
      <c r="C69" s="115">
        <f>C60-C65</f>
        <v>-1.7097434579227411E-14</v>
      </c>
      <c r="D69" s="115">
        <f t="shared" ref="D69:X69" si="22">D60-D65</f>
        <v>1.1324274851176597E-14</v>
      </c>
      <c r="E69" s="115">
        <f t="shared" si="22"/>
        <v>8.8817841970012523E-15</v>
      </c>
      <c r="F69" s="115">
        <f t="shared" si="22"/>
        <v>-2.9309887850104133E-14</v>
      </c>
      <c r="G69" s="115">
        <f t="shared" si="22"/>
        <v>5.773159728050814E-15</v>
      </c>
      <c r="H69" s="115">
        <f t="shared" si="22"/>
        <v>2.2648549702353193E-14</v>
      </c>
      <c r="I69" s="115">
        <f t="shared" si="22"/>
        <v>-1.3322676295501878E-14</v>
      </c>
      <c r="J69" s="115">
        <f t="shared" si="22"/>
        <v>-4.2632564145606011E-14</v>
      </c>
      <c r="K69" s="115">
        <f t="shared" si="22"/>
        <v>0</v>
      </c>
      <c r="L69" s="115">
        <f t="shared" si="22"/>
        <v>1.1324274851176597E-14</v>
      </c>
      <c r="M69" s="115">
        <f t="shared" si="22"/>
        <v>1.1379786002407855E-14</v>
      </c>
      <c r="N69" s="115">
        <f t="shared" si="22"/>
        <v>2.886579864025407E-15</v>
      </c>
      <c r="O69" s="115">
        <f t="shared" si="22"/>
        <v>0</v>
      </c>
      <c r="P69" s="115">
        <f t="shared" si="22"/>
        <v>-1.7041923427996153E-14</v>
      </c>
      <c r="Q69" s="115">
        <f t="shared" si="22"/>
        <v>0</v>
      </c>
      <c r="R69" s="115">
        <f t="shared" si="22"/>
        <v>-1.4210854715202004E-14</v>
      </c>
      <c r="S69" s="115">
        <f t="shared" si="22"/>
        <v>5.6621374255882984E-15</v>
      </c>
      <c r="T69" s="115">
        <f t="shared" si="22"/>
        <v>-5.773159728050814E-15</v>
      </c>
      <c r="U69" s="115">
        <f t="shared" si="22"/>
        <v>5.6898930012039273E-15</v>
      </c>
      <c r="V69" s="115">
        <f t="shared" si="22"/>
        <v>5.773159728050814E-15</v>
      </c>
      <c r="W69" s="115">
        <f t="shared" si="22"/>
        <v>-4.4408920985006262E-15</v>
      </c>
      <c r="X69" s="115">
        <f t="shared" si="22"/>
        <v>1.1546319456101628E-14</v>
      </c>
    </row>
    <row r="70" spans="1:24" hidden="1" x14ac:dyDescent="0.2">
      <c r="A70" s="116"/>
      <c r="B70" s="116"/>
      <c r="C70" s="117">
        <f>C57-[1]RZiS!B20</f>
        <v>0</v>
      </c>
      <c r="D70" s="117">
        <f>D57-[1]RZiS!C20</f>
        <v>0</v>
      </c>
      <c r="E70" s="117">
        <f>E57-[1]RZiS!D20</f>
        <v>0</v>
      </c>
      <c r="F70" s="117">
        <f>F57-[1]RZiS!E20</f>
        <v>0</v>
      </c>
      <c r="G70" s="117">
        <f>G57-[1]RZiS!F20</f>
        <v>0</v>
      </c>
      <c r="H70" s="117">
        <f>H57-[1]RZiS!G20</f>
        <v>0</v>
      </c>
      <c r="I70" s="117">
        <f>I57-[1]RZiS!H20</f>
        <v>0</v>
      </c>
      <c r="J70" s="117">
        <f>J57-[1]RZiS!I20</f>
        <v>0</v>
      </c>
      <c r="K70" s="117">
        <f>K57-[1]RZiS!J20</f>
        <v>0</v>
      </c>
      <c r="L70" s="117">
        <f>L57-[1]RZiS!K20</f>
        <v>0</v>
      </c>
      <c r="M70" s="117">
        <f>M57-[1]RZiS!L20</f>
        <v>0</v>
      </c>
      <c r="N70" s="117">
        <f>N57-[1]RZiS!M20</f>
        <v>0</v>
      </c>
      <c r="O70" s="117">
        <f>O57-[1]RZiS!N20</f>
        <v>0</v>
      </c>
      <c r="P70" s="117">
        <f>P57-[1]RZiS!O20</f>
        <v>0</v>
      </c>
      <c r="Q70" s="117">
        <f>Q57-[1]RZiS!P20</f>
        <v>0</v>
      </c>
      <c r="R70" s="117">
        <f>R57-[1]RZiS!Q20</f>
        <v>0</v>
      </c>
      <c r="S70" s="117">
        <f>S57-[1]RZiS!R20</f>
        <v>0</v>
      </c>
      <c r="T70" s="117">
        <f>T57-[1]RZiS!S20</f>
        <v>0</v>
      </c>
      <c r="U70" s="117">
        <f>U57-[1]RZiS!T20</f>
        <v>0</v>
      </c>
      <c r="V70" s="117">
        <f>V57-[1]RZiS!U20</f>
        <v>0</v>
      </c>
      <c r="W70" s="117">
        <f>W57-[1]RZiS!V20</f>
        <v>0</v>
      </c>
      <c r="X70" s="117">
        <f>X57-[1]RZiS!W20</f>
        <v>0</v>
      </c>
    </row>
    <row r="71" spans="1:24" hidden="1" x14ac:dyDescent="0.2">
      <c r="A71" s="116"/>
      <c r="B71" s="116"/>
      <c r="C71" s="115">
        <f>C69-C70</f>
        <v>-1.7097434579227411E-14</v>
      </c>
      <c r="D71" s="115">
        <f t="shared" ref="D71:X71" si="23">D69-D70</f>
        <v>1.1324274851176597E-14</v>
      </c>
      <c r="E71" s="115">
        <f t="shared" si="23"/>
        <v>8.8817841970012523E-15</v>
      </c>
      <c r="F71" s="115">
        <f t="shared" si="23"/>
        <v>-2.9309887850104133E-14</v>
      </c>
      <c r="G71" s="115">
        <f t="shared" si="23"/>
        <v>5.773159728050814E-15</v>
      </c>
      <c r="H71" s="115">
        <f t="shared" si="23"/>
        <v>2.2648549702353193E-14</v>
      </c>
      <c r="I71" s="115">
        <f t="shared" si="23"/>
        <v>-1.3322676295501878E-14</v>
      </c>
      <c r="J71" s="115">
        <f t="shared" si="23"/>
        <v>-4.2632564145606011E-14</v>
      </c>
      <c r="K71" s="115">
        <f t="shared" si="23"/>
        <v>0</v>
      </c>
      <c r="L71" s="115">
        <f t="shared" si="23"/>
        <v>1.1324274851176597E-14</v>
      </c>
      <c r="M71" s="115">
        <f t="shared" si="23"/>
        <v>1.1379786002407855E-14</v>
      </c>
      <c r="N71" s="115">
        <f t="shared" si="23"/>
        <v>2.886579864025407E-15</v>
      </c>
      <c r="O71" s="115">
        <f t="shared" si="23"/>
        <v>0</v>
      </c>
      <c r="P71" s="115">
        <f t="shared" si="23"/>
        <v>-1.7041923427996153E-14</v>
      </c>
      <c r="Q71" s="115">
        <f t="shared" si="23"/>
        <v>0</v>
      </c>
      <c r="R71" s="115">
        <f t="shared" si="23"/>
        <v>-1.4210854715202004E-14</v>
      </c>
      <c r="S71" s="115">
        <f t="shared" si="23"/>
        <v>5.6621374255882984E-15</v>
      </c>
      <c r="T71" s="115">
        <f t="shared" si="23"/>
        <v>-5.773159728050814E-15</v>
      </c>
      <c r="U71" s="115">
        <f t="shared" si="23"/>
        <v>5.6898930012039273E-15</v>
      </c>
      <c r="V71" s="115">
        <f t="shared" si="23"/>
        <v>5.773159728050814E-15</v>
      </c>
      <c r="W71" s="115">
        <f t="shared" si="23"/>
        <v>-4.4408920985006262E-15</v>
      </c>
      <c r="X71" s="115">
        <f t="shared" si="23"/>
        <v>1.1546319456101628E-14</v>
      </c>
    </row>
    <row r="72" spans="1:24" x14ac:dyDescent="0.2">
      <c r="A72" s="3"/>
      <c r="B72" s="3"/>
    </row>
    <row r="73" spans="1:24" x14ac:dyDescent="0.2">
      <c r="A73" s="3"/>
      <c r="B73" s="3"/>
    </row>
    <row r="74" spans="1:24" x14ac:dyDescent="0.2">
      <c r="A74" s="3"/>
      <c r="B74" s="3"/>
    </row>
    <row r="75" spans="1:24" x14ac:dyDescent="0.2">
      <c r="A75" s="3"/>
      <c r="B75" s="3"/>
    </row>
    <row r="76" spans="1:24" x14ac:dyDescent="0.2">
      <c r="A76" s="3"/>
      <c r="B76" s="3"/>
    </row>
    <row r="77" spans="1:24" x14ac:dyDescent="0.2">
      <c r="A77" s="3"/>
      <c r="B77" s="3"/>
    </row>
    <row r="78" spans="1:24" x14ac:dyDescent="0.2">
      <c r="A78" s="3"/>
      <c r="B78" s="3"/>
    </row>
    <row r="79" spans="1:24" x14ac:dyDescent="0.2">
      <c r="A79" s="3"/>
      <c r="B79"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8.85546875" defaultRowHeight="12.75" outlineLevelCol="1" x14ac:dyDescent="0.2"/>
  <cols>
    <col min="1" max="1" customWidth="true" style="2" width="45.7109375" collapsed="true"/>
    <col min="2" max="2" customWidth="true" hidden="true" style="2" width="45.7109375" collapsed="true" outlineLevel="1"/>
    <col min="3" max="3" bestFit="true" customWidth="true" style="3" width="4.85546875" collapsed="true"/>
    <col min="4" max="24" bestFit="true" customWidth="true" style="3" width="4.85546875" collapsed="true"/>
    <col min="25" max="16384" style="3" width="8.85546875" collapsed="true"/>
  </cols>
  <sheetData>
    <row r="1" spans="1:25" x14ac:dyDescent="0.2">
      <c r="X1" s="4"/>
    </row>
    <row r="2" spans="1:25" x14ac:dyDescent="0.2">
      <c r="A2" s="385" t="s">
        <v>261</v>
      </c>
      <c r="B2" s="385" t="s">
        <v>2</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5"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5" s="4" customFormat="1" ht="12.75" customHeight="1" x14ac:dyDescent="0.2">
      <c r="A4" s="21" t="s">
        <v>258</v>
      </c>
      <c r="B4" s="21" t="s">
        <v>15</v>
      </c>
      <c r="C4" s="17"/>
      <c r="D4" s="7"/>
      <c r="E4" s="6"/>
      <c r="F4" s="7"/>
      <c r="G4" s="17"/>
      <c r="H4" s="7"/>
      <c r="I4" s="6"/>
      <c r="J4" s="18"/>
      <c r="K4" s="17"/>
      <c r="L4" s="7"/>
      <c r="M4" s="6"/>
      <c r="N4" s="18"/>
      <c r="O4" s="17"/>
      <c r="P4" s="7"/>
      <c r="Q4" s="6"/>
      <c r="R4" s="18"/>
      <c r="S4" s="17"/>
      <c r="T4" s="7"/>
      <c r="U4" s="6"/>
      <c r="V4" s="18"/>
      <c r="W4" s="6"/>
      <c r="X4" s="6"/>
    </row>
    <row r="5" spans="1:25" s="8" customFormat="1" x14ac:dyDescent="0.2">
      <c r="A5" s="40" t="s">
        <v>326</v>
      </c>
      <c r="B5" s="40" t="s">
        <v>67</v>
      </c>
      <c r="C5" s="42"/>
      <c r="D5" s="43"/>
      <c r="E5" s="43"/>
      <c r="F5" s="43"/>
      <c r="G5" s="42"/>
      <c r="H5" s="43"/>
      <c r="I5" s="43"/>
      <c r="J5" s="44"/>
      <c r="K5" s="42"/>
      <c r="L5" s="43"/>
      <c r="M5" s="43"/>
      <c r="N5" s="44"/>
      <c r="O5" s="42"/>
      <c r="P5" s="43"/>
      <c r="Q5" s="43"/>
      <c r="R5" s="44"/>
      <c r="S5" s="42"/>
      <c r="T5" s="43"/>
      <c r="U5" s="43"/>
      <c r="V5" s="44"/>
      <c r="W5" s="43"/>
      <c r="X5" s="43"/>
    </row>
    <row r="6" spans="1:25" s="8" customFormat="1" x14ac:dyDescent="0.2">
      <c r="A6" s="97" t="s">
        <v>327</v>
      </c>
      <c r="B6" s="97" t="s">
        <v>69</v>
      </c>
      <c r="C6" s="42">
        <v>196.4</v>
      </c>
      <c r="D6" s="43">
        <v>219.2</v>
      </c>
      <c r="E6" s="43">
        <v>237</v>
      </c>
      <c r="F6" s="43">
        <v>220.2</v>
      </c>
      <c r="G6" s="42">
        <v>216</v>
      </c>
      <c r="H6" s="43">
        <v>177.8</v>
      </c>
      <c r="I6" s="43">
        <v>145</v>
      </c>
      <c r="J6" s="44">
        <v>142.6</v>
      </c>
      <c r="K6" s="42">
        <v>66.599999999999994</v>
      </c>
      <c r="L6" s="43">
        <v>39</v>
      </c>
      <c r="M6" s="43">
        <v>31.2</v>
      </c>
      <c r="N6" s="44">
        <v>32.200000000000003</v>
      </c>
      <c r="O6" s="42">
        <v>24.2</v>
      </c>
      <c r="P6" s="43">
        <v>29.9</v>
      </c>
      <c r="Q6" s="43">
        <v>21.7</v>
      </c>
      <c r="R6" s="44">
        <v>23.5</v>
      </c>
      <c r="S6" s="42">
        <v>26.3</v>
      </c>
      <c r="T6" s="43">
        <v>29.8</v>
      </c>
      <c r="U6" s="43">
        <v>30.2</v>
      </c>
      <c r="V6" s="44">
        <v>41.9</v>
      </c>
      <c r="W6" s="43">
        <v>26.8</v>
      </c>
      <c r="X6" s="43">
        <v>30.4</v>
      </c>
      <c r="Y6" s="96"/>
    </row>
    <row r="7" spans="1:25" s="10" customFormat="1" x14ac:dyDescent="0.2">
      <c r="A7" s="97" t="s">
        <v>328</v>
      </c>
      <c r="B7" s="97" t="s">
        <v>68</v>
      </c>
      <c r="C7" s="42">
        <v>191.4</v>
      </c>
      <c r="D7" s="43">
        <v>214.4</v>
      </c>
      <c r="E7" s="43">
        <v>236.3</v>
      </c>
      <c r="F7" s="43">
        <v>275.5</v>
      </c>
      <c r="G7" s="42">
        <v>301.3</v>
      </c>
      <c r="H7" s="43">
        <v>348.3</v>
      </c>
      <c r="I7" s="43">
        <v>399.09999999999997</v>
      </c>
      <c r="J7" s="44">
        <v>432.59999999999997</v>
      </c>
      <c r="K7" s="42">
        <v>421.9</v>
      </c>
      <c r="L7" s="43">
        <v>417.9</v>
      </c>
      <c r="M7" s="43">
        <v>410.3</v>
      </c>
      <c r="N7" s="44">
        <v>402.7</v>
      </c>
      <c r="O7" s="42">
        <v>421.9</v>
      </c>
      <c r="P7" s="43">
        <v>429.1</v>
      </c>
      <c r="Q7" s="43">
        <v>459.4</v>
      </c>
      <c r="R7" s="44">
        <v>476.7</v>
      </c>
      <c r="S7" s="42">
        <v>495.1</v>
      </c>
      <c r="T7" s="43">
        <v>544.20000000000005</v>
      </c>
      <c r="U7" s="43">
        <v>604.9</v>
      </c>
      <c r="V7" s="44">
        <v>631.20000000000005</v>
      </c>
      <c r="W7" s="43">
        <v>643.5</v>
      </c>
      <c r="X7" s="43">
        <v>666.3</v>
      </c>
      <c r="Y7" s="96"/>
    </row>
    <row r="8" spans="1:25" s="8" customFormat="1" x14ac:dyDescent="0.2">
      <c r="A8" s="41" t="s">
        <v>329</v>
      </c>
      <c r="B8" s="41" t="s">
        <v>70</v>
      </c>
      <c r="C8" s="42">
        <v>191.5</v>
      </c>
      <c r="D8" s="43">
        <v>161.30000000000001</v>
      </c>
      <c r="E8" s="43">
        <v>150.5</v>
      </c>
      <c r="F8" s="43">
        <v>179.4</v>
      </c>
      <c r="G8" s="42">
        <v>209.9</v>
      </c>
      <c r="H8" s="43">
        <v>299.39999999999998</v>
      </c>
      <c r="I8" s="43">
        <v>342.6</v>
      </c>
      <c r="J8" s="44">
        <v>378.7</v>
      </c>
      <c r="K8" s="42">
        <v>351.1</v>
      </c>
      <c r="L8" s="43">
        <v>316.5</v>
      </c>
      <c r="M8" s="43">
        <v>274.3</v>
      </c>
      <c r="N8" s="44">
        <v>259.8</v>
      </c>
      <c r="O8" s="42">
        <v>255.4</v>
      </c>
      <c r="P8" s="43">
        <v>249.9</v>
      </c>
      <c r="Q8" s="43">
        <v>245.1</v>
      </c>
      <c r="R8" s="44">
        <v>254.2</v>
      </c>
      <c r="S8" s="42">
        <v>265.8</v>
      </c>
      <c r="T8" s="43">
        <v>270.60000000000002</v>
      </c>
      <c r="U8" s="43">
        <v>245.7</v>
      </c>
      <c r="V8" s="44">
        <v>204.8</v>
      </c>
      <c r="W8" s="43">
        <v>199.3</v>
      </c>
      <c r="X8" s="43">
        <v>179</v>
      </c>
      <c r="Y8" s="96"/>
    </row>
    <row r="9" spans="1:25" s="8" customFormat="1" x14ac:dyDescent="0.2">
      <c r="A9" s="41" t="s">
        <v>330</v>
      </c>
      <c r="B9" s="41" t="s">
        <v>71</v>
      </c>
      <c r="C9" s="42">
        <v>0</v>
      </c>
      <c r="D9" s="43">
        <v>0</v>
      </c>
      <c r="E9" s="43">
        <v>0</v>
      </c>
      <c r="F9" s="43">
        <v>0</v>
      </c>
      <c r="G9" s="42">
        <v>0</v>
      </c>
      <c r="H9" s="43">
        <v>0</v>
      </c>
      <c r="I9" s="43">
        <v>0</v>
      </c>
      <c r="J9" s="44">
        <v>0</v>
      </c>
      <c r="K9" s="42">
        <v>0</v>
      </c>
      <c r="L9" s="43">
        <v>0</v>
      </c>
      <c r="M9" s="43">
        <v>0</v>
      </c>
      <c r="N9" s="44">
        <v>0</v>
      </c>
      <c r="O9" s="42">
        <v>0</v>
      </c>
      <c r="P9" s="43">
        <v>0</v>
      </c>
      <c r="Q9" s="43">
        <v>0</v>
      </c>
      <c r="R9" s="44">
        <v>0</v>
      </c>
      <c r="S9" s="42">
        <v>0</v>
      </c>
      <c r="T9" s="43">
        <v>0</v>
      </c>
      <c r="U9" s="43">
        <v>0</v>
      </c>
      <c r="V9" s="44">
        <v>0</v>
      </c>
      <c r="W9" s="43">
        <v>41.9</v>
      </c>
      <c r="X9" s="43">
        <v>42.2</v>
      </c>
      <c r="Y9" s="96"/>
    </row>
    <row r="10" spans="1:25" s="4" customFormat="1" x14ac:dyDescent="0.2">
      <c r="A10" s="97" t="s">
        <v>331</v>
      </c>
      <c r="B10" s="97" t="s">
        <v>72</v>
      </c>
      <c r="C10" s="42">
        <v>1.8</v>
      </c>
      <c r="D10" s="43">
        <v>2</v>
      </c>
      <c r="E10" s="43">
        <v>1.8</v>
      </c>
      <c r="F10" s="43">
        <v>1.9</v>
      </c>
      <c r="G10" s="42">
        <v>2</v>
      </c>
      <c r="H10" s="43">
        <v>2.8</v>
      </c>
      <c r="I10" s="43">
        <v>2.8</v>
      </c>
      <c r="J10" s="44">
        <v>2.2999999999999998</v>
      </c>
      <c r="K10" s="42">
        <v>1.4</v>
      </c>
      <c r="L10" s="43">
        <v>1.3</v>
      </c>
      <c r="M10" s="43">
        <v>1.6</v>
      </c>
      <c r="N10" s="44">
        <v>2</v>
      </c>
      <c r="O10" s="42">
        <v>2.2000000000000002</v>
      </c>
      <c r="P10" s="43">
        <v>2.2000000000000002</v>
      </c>
      <c r="Q10" s="43">
        <v>2.2999999999999998</v>
      </c>
      <c r="R10" s="44">
        <v>2.4</v>
      </c>
      <c r="S10" s="42">
        <v>1.8</v>
      </c>
      <c r="T10" s="43">
        <v>2.2999999999999998</v>
      </c>
      <c r="U10" s="43">
        <v>3.3</v>
      </c>
      <c r="V10" s="44">
        <v>3.8</v>
      </c>
      <c r="W10" s="43">
        <v>22</v>
      </c>
      <c r="X10" s="43">
        <v>24</v>
      </c>
      <c r="Y10" s="96"/>
    </row>
    <row r="11" spans="1:25" s="10" customFormat="1" x14ac:dyDescent="0.2">
      <c r="A11" s="99" t="s">
        <v>332</v>
      </c>
      <c r="B11" s="99" t="s">
        <v>73</v>
      </c>
      <c r="C11" s="42">
        <v>-25</v>
      </c>
      <c r="D11" s="43">
        <v>-11.1</v>
      </c>
      <c r="E11" s="43">
        <v>-6.7</v>
      </c>
      <c r="F11" s="43">
        <v>-3.7</v>
      </c>
      <c r="G11" s="42">
        <v>20.8</v>
      </c>
      <c r="H11" s="43">
        <v>26.6</v>
      </c>
      <c r="I11" s="43">
        <v>20.3</v>
      </c>
      <c r="J11" s="44">
        <v>26.2</v>
      </c>
      <c r="K11" s="42">
        <v>19.7</v>
      </c>
      <c r="L11" s="43">
        <v>-1.5</v>
      </c>
      <c r="M11" s="43">
        <v>14.6</v>
      </c>
      <c r="N11" s="44">
        <v>14.8</v>
      </c>
      <c r="O11" s="42">
        <v>23</v>
      </c>
      <c r="P11" s="43">
        <v>11.9</v>
      </c>
      <c r="Q11" s="43">
        <v>18.8</v>
      </c>
      <c r="R11" s="44">
        <v>-5.4</v>
      </c>
      <c r="S11" s="42">
        <v>-16.600000000000001</v>
      </c>
      <c r="T11" s="43">
        <v>-13.4</v>
      </c>
      <c r="U11" s="43">
        <v>-1.9</v>
      </c>
      <c r="V11" s="44">
        <v>15.2</v>
      </c>
      <c r="W11" s="43">
        <v>11.3</v>
      </c>
      <c r="X11" s="43">
        <v>2.2000000000000002</v>
      </c>
      <c r="Y11" s="96"/>
    </row>
    <row r="12" spans="1:25" s="10" customFormat="1" x14ac:dyDescent="0.2">
      <c r="A12" s="97" t="s">
        <v>333</v>
      </c>
      <c r="B12" s="97" t="s">
        <v>74</v>
      </c>
      <c r="C12" s="42">
        <v>-0.1</v>
      </c>
      <c r="D12" s="43">
        <v>0.2</v>
      </c>
      <c r="E12" s="43">
        <v>-0.6</v>
      </c>
      <c r="F12" s="43">
        <v>0</v>
      </c>
      <c r="G12" s="42">
        <v>0.5</v>
      </c>
      <c r="H12" s="43">
        <v>0.4</v>
      </c>
      <c r="I12" s="43">
        <v>0.3</v>
      </c>
      <c r="J12" s="44">
        <v>0.4</v>
      </c>
      <c r="K12" s="42">
        <v>0.1</v>
      </c>
      <c r="L12" s="43">
        <v>0.1</v>
      </c>
      <c r="M12" s="43">
        <v>0.1</v>
      </c>
      <c r="N12" s="44">
        <v>0</v>
      </c>
      <c r="O12" s="42">
        <v>0.1</v>
      </c>
      <c r="P12" s="43">
        <v>0.1</v>
      </c>
      <c r="Q12" s="43">
        <v>0</v>
      </c>
      <c r="R12" s="44">
        <v>0.1</v>
      </c>
      <c r="S12" s="42">
        <v>0.2</v>
      </c>
      <c r="T12" s="43">
        <v>0.1</v>
      </c>
      <c r="U12" s="43">
        <v>0.1</v>
      </c>
      <c r="V12" s="44">
        <v>0.1</v>
      </c>
      <c r="W12" s="43">
        <v>0.4</v>
      </c>
      <c r="X12" s="43">
        <v>1.1000000000000001</v>
      </c>
      <c r="Y12" s="96"/>
    </row>
    <row r="13" spans="1:25" s="10" customFormat="1" x14ac:dyDescent="0.2">
      <c r="A13" s="108" t="s">
        <v>334</v>
      </c>
      <c r="B13" s="108" t="s">
        <v>66</v>
      </c>
      <c r="C13" s="49">
        <f>SUM(C6:C12)</f>
        <v>555.99999999999989</v>
      </c>
      <c r="D13" s="50">
        <f>SUM(D6:D12)</f>
        <v>586.00000000000011</v>
      </c>
      <c r="E13" s="50">
        <f t="shared" ref="E13:X13" si="0">SUM(E6:E12)</f>
        <v>618.29999999999984</v>
      </c>
      <c r="F13" s="50">
        <f t="shared" si="0"/>
        <v>673.3</v>
      </c>
      <c r="G13" s="49">
        <f t="shared" si="0"/>
        <v>750.49999999999989</v>
      </c>
      <c r="H13" s="50">
        <f t="shared" si="0"/>
        <v>855.3</v>
      </c>
      <c r="I13" s="50">
        <f t="shared" si="0"/>
        <v>910.0999999999998</v>
      </c>
      <c r="J13" s="51">
        <f t="shared" si="0"/>
        <v>982.79999999999984</v>
      </c>
      <c r="K13" s="49">
        <f t="shared" si="0"/>
        <v>860.80000000000007</v>
      </c>
      <c r="L13" s="50">
        <f t="shared" si="0"/>
        <v>773.3</v>
      </c>
      <c r="M13" s="50">
        <f t="shared" si="0"/>
        <v>732.1</v>
      </c>
      <c r="N13" s="51">
        <f t="shared" si="0"/>
        <v>711.5</v>
      </c>
      <c r="O13" s="49">
        <f t="shared" si="0"/>
        <v>726.80000000000007</v>
      </c>
      <c r="P13" s="50">
        <f t="shared" si="0"/>
        <v>723.1</v>
      </c>
      <c r="Q13" s="50">
        <f t="shared" si="0"/>
        <v>747.29999999999984</v>
      </c>
      <c r="R13" s="51">
        <f t="shared" si="0"/>
        <v>751.5</v>
      </c>
      <c r="S13" s="49">
        <f t="shared" si="0"/>
        <v>772.6</v>
      </c>
      <c r="T13" s="50">
        <f t="shared" si="0"/>
        <v>833.6</v>
      </c>
      <c r="U13" s="50">
        <f t="shared" si="0"/>
        <v>882.3</v>
      </c>
      <c r="V13" s="51">
        <f t="shared" si="0"/>
        <v>897.00000000000011</v>
      </c>
      <c r="W13" s="50">
        <f t="shared" si="0"/>
        <v>945.19999999999982</v>
      </c>
      <c r="X13" s="50">
        <f t="shared" si="0"/>
        <v>945.2</v>
      </c>
      <c r="Y13" s="96"/>
    </row>
    <row r="14" spans="1:25" s="8" customFormat="1" x14ac:dyDescent="0.2">
      <c r="A14" s="40"/>
      <c r="B14" s="40"/>
      <c r="C14" s="42"/>
      <c r="D14" s="43"/>
      <c r="E14" s="43"/>
      <c r="F14" s="43"/>
      <c r="G14" s="42"/>
      <c r="H14" s="43"/>
      <c r="I14" s="43"/>
      <c r="J14" s="44"/>
      <c r="K14" s="42"/>
      <c r="L14" s="43"/>
      <c r="M14" s="43"/>
      <c r="N14" s="44"/>
      <c r="O14" s="42"/>
      <c r="P14" s="43"/>
      <c r="Q14" s="43"/>
      <c r="R14" s="44"/>
      <c r="S14" s="42"/>
      <c r="T14" s="43"/>
      <c r="U14" s="43"/>
      <c r="V14" s="44"/>
      <c r="W14" s="43"/>
      <c r="X14" s="43"/>
      <c r="Y14" s="96"/>
    </row>
    <row r="15" spans="1:25" s="10" customFormat="1" x14ac:dyDescent="0.2">
      <c r="A15" s="98" t="s">
        <v>335</v>
      </c>
      <c r="B15" s="98" t="s">
        <v>75</v>
      </c>
      <c r="C15" s="42"/>
      <c r="D15" s="43"/>
      <c r="E15" s="43"/>
      <c r="F15" s="43"/>
      <c r="G15" s="42"/>
      <c r="H15" s="43"/>
      <c r="I15" s="43"/>
      <c r="J15" s="44"/>
      <c r="K15" s="42"/>
      <c r="L15" s="43"/>
      <c r="M15" s="43"/>
      <c r="N15" s="44"/>
      <c r="O15" s="42"/>
      <c r="P15" s="43"/>
      <c r="Q15" s="43"/>
      <c r="R15" s="44"/>
      <c r="S15" s="42"/>
      <c r="T15" s="43"/>
      <c r="U15" s="43"/>
      <c r="V15" s="44"/>
      <c r="W15" s="43"/>
      <c r="X15" s="43"/>
      <c r="Y15" s="96"/>
    </row>
    <row r="16" spans="1:25" s="10" customFormat="1" x14ac:dyDescent="0.2">
      <c r="A16" s="97" t="s">
        <v>336</v>
      </c>
      <c r="B16" s="97" t="s">
        <v>76</v>
      </c>
      <c r="C16" s="42">
        <v>26.7</v>
      </c>
      <c r="D16" s="43">
        <v>25.7</v>
      </c>
      <c r="E16" s="43">
        <v>30.7</v>
      </c>
      <c r="F16" s="43">
        <v>35.4</v>
      </c>
      <c r="G16" s="42">
        <v>38.9</v>
      </c>
      <c r="H16" s="43">
        <v>55</v>
      </c>
      <c r="I16" s="43">
        <v>61.9</v>
      </c>
      <c r="J16" s="44">
        <v>90.5</v>
      </c>
      <c r="K16" s="42">
        <v>97.7</v>
      </c>
      <c r="L16" s="43">
        <v>52.3</v>
      </c>
      <c r="M16" s="43">
        <v>18.399999999999999</v>
      </c>
      <c r="N16" s="44">
        <v>16.600000000000001</v>
      </c>
      <c r="O16" s="42">
        <v>18.600000000000001</v>
      </c>
      <c r="P16" s="43">
        <v>18.600000000000001</v>
      </c>
      <c r="Q16" s="43">
        <v>19.3</v>
      </c>
      <c r="R16" s="44">
        <v>34.700000000000003</v>
      </c>
      <c r="S16" s="42">
        <v>42</v>
      </c>
      <c r="T16" s="43">
        <v>48.9</v>
      </c>
      <c r="U16" s="43">
        <v>44.3</v>
      </c>
      <c r="V16" s="44">
        <v>27.7</v>
      </c>
      <c r="W16" s="43">
        <v>39.799999999999997</v>
      </c>
      <c r="X16" s="43">
        <v>31.4</v>
      </c>
      <c r="Y16" s="96"/>
    </row>
    <row r="17" spans="1:25" s="10" customFormat="1" x14ac:dyDescent="0.2">
      <c r="A17" s="99" t="s">
        <v>337</v>
      </c>
      <c r="B17" s="99" t="s">
        <v>77</v>
      </c>
      <c r="C17" s="42">
        <v>293.2</v>
      </c>
      <c r="D17" s="43">
        <v>313.40000000000003</v>
      </c>
      <c r="E17" s="43">
        <v>333</v>
      </c>
      <c r="F17" s="43">
        <v>374.7</v>
      </c>
      <c r="G17" s="42">
        <v>428.2</v>
      </c>
      <c r="H17" s="43">
        <v>484.5</v>
      </c>
      <c r="I17" s="43">
        <v>527.29999999999995</v>
      </c>
      <c r="J17" s="44">
        <v>559.80000000000007</v>
      </c>
      <c r="K17" s="42">
        <v>452</v>
      </c>
      <c r="L17" s="43">
        <v>362</v>
      </c>
      <c r="M17" s="43">
        <v>335.7</v>
      </c>
      <c r="N17" s="44">
        <v>340.5</v>
      </c>
      <c r="O17" s="42">
        <v>317.8</v>
      </c>
      <c r="P17" s="43">
        <v>299.2</v>
      </c>
      <c r="Q17" s="43">
        <v>317.8</v>
      </c>
      <c r="R17" s="44">
        <v>295.10000000000002</v>
      </c>
      <c r="S17" s="42">
        <v>295.7</v>
      </c>
      <c r="T17" s="43">
        <v>325.2</v>
      </c>
      <c r="U17" s="43">
        <v>360.6</v>
      </c>
      <c r="V17" s="44">
        <v>389.6</v>
      </c>
      <c r="W17" s="43">
        <v>391.9</v>
      </c>
      <c r="X17" s="43">
        <v>399.7</v>
      </c>
      <c r="Y17" s="96"/>
    </row>
    <row r="18" spans="1:25" s="10" customFormat="1" x14ac:dyDescent="0.2">
      <c r="A18" s="108" t="s">
        <v>338</v>
      </c>
      <c r="B18" s="108" t="s">
        <v>78</v>
      </c>
      <c r="C18" s="49">
        <f>C16+C17</f>
        <v>319.89999999999998</v>
      </c>
      <c r="D18" s="50">
        <f t="shared" ref="D18:X18" si="1">D16+D17</f>
        <v>339.1</v>
      </c>
      <c r="E18" s="50">
        <f t="shared" si="1"/>
        <v>363.7</v>
      </c>
      <c r="F18" s="50">
        <f t="shared" si="1"/>
        <v>410.09999999999997</v>
      </c>
      <c r="G18" s="49">
        <f t="shared" si="1"/>
        <v>467.09999999999997</v>
      </c>
      <c r="H18" s="50">
        <f t="shared" si="1"/>
        <v>539.5</v>
      </c>
      <c r="I18" s="50">
        <f t="shared" si="1"/>
        <v>589.19999999999993</v>
      </c>
      <c r="J18" s="51">
        <f t="shared" si="1"/>
        <v>650.30000000000007</v>
      </c>
      <c r="K18" s="49">
        <f t="shared" si="1"/>
        <v>549.70000000000005</v>
      </c>
      <c r="L18" s="50">
        <f t="shared" si="1"/>
        <v>414.3</v>
      </c>
      <c r="M18" s="50">
        <f t="shared" si="1"/>
        <v>354.09999999999997</v>
      </c>
      <c r="N18" s="51">
        <f t="shared" si="1"/>
        <v>357.1</v>
      </c>
      <c r="O18" s="49">
        <f t="shared" si="1"/>
        <v>336.40000000000003</v>
      </c>
      <c r="P18" s="50">
        <f t="shared" si="1"/>
        <v>317.8</v>
      </c>
      <c r="Q18" s="50">
        <f t="shared" si="1"/>
        <v>337.1</v>
      </c>
      <c r="R18" s="51">
        <f t="shared" si="1"/>
        <v>329.8</v>
      </c>
      <c r="S18" s="49">
        <f t="shared" si="1"/>
        <v>337.7</v>
      </c>
      <c r="T18" s="50">
        <f t="shared" si="1"/>
        <v>374.09999999999997</v>
      </c>
      <c r="U18" s="50">
        <f t="shared" si="1"/>
        <v>404.90000000000003</v>
      </c>
      <c r="V18" s="51">
        <f t="shared" si="1"/>
        <v>417.3</v>
      </c>
      <c r="W18" s="50">
        <f t="shared" si="1"/>
        <v>431.7</v>
      </c>
      <c r="X18" s="50">
        <f t="shared" si="1"/>
        <v>431.09999999999997</v>
      </c>
      <c r="Y18" s="96"/>
    </row>
    <row r="19" spans="1:25" s="10" customFormat="1" x14ac:dyDescent="0.2">
      <c r="A19" s="40"/>
      <c r="B19" s="40"/>
      <c r="C19" s="42"/>
      <c r="D19" s="43"/>
      <c r="E19" s="43"/>
      <c r="F19" s="43"/>
      <c r="G19" s="42"/>
      <c r="H19" s="43"/>
      <c r="I19" s="43"/>
      <c r="J19" s="44"/>
      <c r="K19" s="42"/>
      <c r="L19" s="43"/>
      <c r="M19" s="43"/>
      <c r="N19" s="44"/>
      <c r="O19" s="42"/>
      <c r="P19" s="43"/>
      <c r="Q19" s="43"/>
      <c r="R19" s="44"/>
      <c r="S19" s="42"/>
      <c r="T19" s="43"/>
      <c r="U19" s="43"/>
      <c r="V19" s="44"/>
      <c r="W19" s="43"/>
      <c r="X19" s="43"/>
      <c r="Y19" s="96"/>
    </row>
    <row r="20" spans="1:25" s="14" customFormat="1" x14ac:dyDescent="0.2">
      <c r="A20" s="109" t="s">
        <v>261</v>
      </c>
      <c r="B20" s="109" t="s">
        <v>2</v>
      </c>
      <c r="C20" s="103">
        <f>C13-C18</f>
        <v>236.09999999999991</v>
      </c>
      <c r="D20" s="104">
        <f t="shared" ref="D20:X20" si="2">D13-D18</f>
        <v>246.90000000000009</v>
      </c>
      <c r="E20" s="104">
        <f t="shared" si="2"/>
        <v>254.59999999999985</v>
      </c>
      <c r="F20" s="104">
        <f t="shared" si="2"/>
        <v>263.2</v>
      </c>
      <c r="G20" s="103">
        <f t="shared" si="2"/>
        <v>283.39999999999992</v>
      </c>
      <c r="H20" s="104">
        <f t="shared" si="2"/>
        <v>315.79999999999995</v>
      </c>
      <c r="I20" s="104">
        <f t="shared" si="2"/>
        <v>320.89999999999986</v>
      </c>
      <c r="J20" s="105">
        <f t="shared" si="2"/>
        <v>332.49999999999977</v>
      </c>
      <c r="K20" s="103">
        <f t="shared" si="2"/>
        <v>311.10000000000002</v>
      </c>
      <c r="L20" s="104">
        <f t="shared" si="2"/>
        <v>358.99999999999994</v>
      </c>
      <c r="M20" s="104">
        <f t="shared" si="2"/>
        <v>378.00000000000006</v>
      </c>
      <c r="N20" s="105">
        <f t="shared" si="2"/>
        <v>354.4</v>
      </c>
      <c r="O20" s="103">
        <f t="shared" si="2"/>
        <v>390.40000000000003</v>
      </c>
      <c r="P20" s="104">
        <f t="shared" si="2"/>
        <v>405.3</v>
      </c>
      <c r="Q20" s="104">
        <f t="shared" si="2"/>
        <v>410.19999999999982</v>
      </c>
      <c r="R20" s="105">
        <f t="shared" si="2"/>
        <v>421.7</v>
      </c>
      <c r="S20" s="103">
        <f t="shared" si="2"/>
        <v>434.90000000000003</v>
      </c>
      <c r="T20" s="104">
        <f t="shared" si="2"/>
        <v>459.50000000000006</v>
      </c>
      <c r="U20" s="104">
        <f t="shared" si="2"/>
        <v>477.39999999999992</v>
      </c>
      <c r="V20" s="105">
        <f t="shared" si="2"/>
        <v>479.7000000000001</v>
      </c>
      <c r="W20" s="104">
        <f t="shared" si="2"/>
        <v>513.49999999999977</v>
      </c>
      <c r="X20" s="104">
        <f t="shared" si="2"/>
        <v>514.10000000000014</v>
      </c>
      <c r="Y20" s="96"/>
    </row>
    <row r="21" spans="1:25" x14ac:dyDescent="0.2">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5" s="120" customFormat="1" ht="11.25" hidden="1" x14ac:dyDescent="0.2">
      <c r="A22" s="118"/>
      <c r="B22" s="118" t="s">
        <v>585</v>
      </c>
      <c r="C22" s="119">
        <f>C13-[1]RZiS!B4</f>
        <v>0</v>
      </c>
      <c r="D22" s="119">
        <f>D13-[1]RZiS!C4</f>
        <v>0</v>
      </c>
      <c r="E22" s="119">
        <f>E13-[1]RZiS!D4</f>
        <v>0</v>
      </c>
      <c r="F22" s="119">
        <f>F13-[1]RZiS!E4</f>
        <v>0</v>
      </c>
      <c r="G22" s="119">
        <f>G13-[1]RZiS!F4</f>
        <v>0</v>
      </c>
      <c r="H22" s="119">
        <f>H13-[1]RZiS!G4</f>
        <v>0</v>
      </c>
      <c r="I22" s="119">
        <f>I13-[1]RZiS!H4</f>
        <v>0</v>
      </c>
      <c r="J22" s="119">
        <f>J13-[1]RZiS!I4</f>
        <v>0</v>
      </c>
      <c r="K22" s="119">
        <f>K13-[1]RZiS!J4</f>
        <v>0</v>
      </c>
      <c r="L22" s="119">
        <f>L13-[1]RZiS!K4</f>
        <v>0</v>
      </c>
      <c r="M22" s="119">
        <f>M13-[1]RZiS!L4</f>
        <v>0</v>
      </c>
      <c r="N22" s="119">
        <f>N13-[1]RZiS!M4</f>
        <v>0</v>
      </c>
      <c r="O22" s="119">
        <f>O13-[1]RZiS!N4</f>
        <v>0</v>
      </c>
      <c r="P22" s="119">
        <f>P13-[1]RZiS!O4</f>
        <v>0</v>
      </c>
      <c r="Q22" s="119">
        <f>Q13-[1]RZiS!P4</f>
        <v>0</v>
      </c>
      <c r="R22" s="119">
        <f>R13-[1]RZiS!Q4</f>
        <v>0</v>
      </c>
      <c r="S22" s="119">
        <f>S13-[1]RZiS!R4</f>
        <v>0</v>
      </c>
      <c r="T22" s="119">
        <f>T13-[1]RZiS!S4</f>
        <v>0</v>
      </c>
      <c r="U22" s="119">
        <f>U13-[1]RZiS!T4</f>
        <v>0</v>
      </c>
      <c r="V22" s="119">
        <f>V13-[1]RZiS!U4</f>
        <v>0</v>
      </c>
      <c r="W22" s="119">
        <f>W13-[1]RZiS!V4</f>
        <v>0</v>
      </c>
      <c r="X22" s="119">
        <f>X13-[1]RZiS!W4</f>
        <v>0</v>
      </c>
    </row>
    <row r="23" spans="1:25" s="120" customFormat="1" ht="11.25" hidden="1" x14ac:dyDescent="0.2">
      <c r="A23" s="118"/>
      <c r="B23" s="118" t="s">
        <v>585</v>
      </c>
      <c r="C23" s="119">
        <f>C18-[1]RZiS!B5</f>
        <v>0</v>
      </c>
      <c r="D23" s="119">
        <f>D18-[1]RZiS!C5</f>
        <v>0</v>
      </c>
      <c r="E23" s="119">
        <f>E18-[1]RZiS!D5</f>
        <v>0</v>
      </c>
      <c r="F23" s="119">
        <f>F18-[1]RZiS!E5</f>
        <v>0</v>
      </c>
      <c r="G23" s="119">
        <f>G18-[1]RZiS!F5</f>
        <v>0</v>
      </c>
      <c r="H23" s="119">
        <f>H18-[1]RZiS!G5</f>
        <v>0</v>
      </c>
      <c r="I23" s="119">
        <f>I18-[1]RZiS!H5</f>
        <v>0</v>
      </c>
      <c r="J23" s="119">
        <f>J18-[1]RZiS!I5</f>
        <v>0</v>
      </c>
      <c r="K23" s="119">
        <f>K18-[1]RZiS!J5</f>
        <v>0</v>
      </c>
      <c r="L23" s="119">
        <f>L18-[1]RZiS!K5</f>
        <v>0</v>
      </c>
      <c r="M23" s="119">
        <f>M18-[1]RZiS!L5</f>
        <v>0</v>
      </c>
      <c r="N23" s="119">
        <f>N18-[1]RZiS!M5</f>
        <v>0</v>
      </c>
      <c r="O23" s="119">
        <f>O18-[1]RZiS!N5</f>
        <v>0</v>
      </c>
      <c r="P23" s="119">
        <f>P18-[1]RZiS!O5</f>
        <v>0</v>
      </c>
      <c r="Q23" s="119">
        <f>Q18-[1]RZiS!P5</f>
        <v>0</v>
      </c>
      <c r="R23" s="119">
        <f>R18-[1]RZiS!Q5</f>
        <v>0</v>
      </c>
      <c r="S23" s="119">
        <f>S18-[1]RZiS!R5</f>
        <v>0</v>
      </c>
      <c r="T23" s="119">
        <f>T18-[1]RZiS!S5</f>
        <v>0</v>
      </c>
      <c r="U23" s="119">
        <f>U18-[1]RZiS!T5</f>
        <v>0</v>
      </c>
      <c r="V23" s="119">
        <f>V18-[1]RZiS!U5</f>
        <v>0</v>
      </c>
      <c r="W23" s="119">
        <f>W18-[1]RZiS!V5</f>
        <v>0</v>
      </c>
      <c r="X23" s="119">
        <f>X18-[1]RZiS!W5</f>
        <v>0</v>
      </c>
    </row>
    <row r="24" spans="1:25" s="120" customFormat="1" ht="11.25" hidden="1" x14ac:dyDescent="0.2">
      <c r="A24" s="118"/>
      <c r="B24" s="118" t="s">
        <v>585</v>
      </c>
      <c r="C24" s="119">
        <f>C20-[1]RZiS!B6</f>
        <v>0</v>
      </c>
      <c r="D24" s="119">
        <f>D20-[1]RZiS!C6</f>
        <v>0</v>
      </c>
      <c r="E24" s="119">
        <f>E20-[1]RZiS!D6</f>
        <v>0</v>
      </c>
      <c r="F24" s="119">
        <f>F20-[1]RZiS!E6</f>
        <v>0</v>
      </c>
      <c r="G24" s="119">
        <f>G20-[1]RZiS!F6</f>
        <v>0</v>
      </c>
      <c r="H24" s="119">
        <f>H20-[1]RZiS!G6</f>
        <v>0</v>
      </c>
      <c r="I24" s="119">
        <f>I20-[1]RZiS!H6</f>
        <v>0</v>
      </c>
      <c r="J24" s="119">
        <f>J20-[1]RZiS!I6</f>
        <v>0</v>
      </c>
      <c r="K24" s="119">
        <f>K20-[1]RZiS!J6</f>
        <v>0</v>
      </c>
      <c r="L24" s="119">
        <f>L20-[1]RZiS!K6</f>
        <v>0</v>
      </c>
      <c r="M24" s="119">
        <f>M20-[1]RZiS!L6</f>
        <v>0</v>
      </c>
      <c r="N24" s="119">
        <f>N20-[1]RZiS!M6</f>
        <v>0</v>
      </c>
      <c r="O24" s="119">
        <f>O20-[1]RZiS!N6</f>
        <v>0</v>
      </c>
      <c r="P24" s="119">
        <f>P20-[1]RZiS!O6</f>
        <v>0</v>
      </c>
      <c r="Q24" s="119">
        <f>Q20-[1]RZiS!P6</f>
        <v>0</v>
      </c>
      <c r="R24" s="119">
        <f>R20-[1]RZiS!Q6</f>
        <v>0</v>
      </c>
      <c r="S24" s="119">
        <f>S20-[1]RZiS!R6</f>
        <v>0</v>
      </c>
      <c r="T24" s="119">
        <f>T20-[1]RZiS!S6</f>
        <v>0</v>
      </c>
      <c r="U24" s="119">
        <f>U20-[1]RZiS!T6</f>
        <v>0</v>
      </c>
      <c r="V24" s="119">
        <f>V20-[1]RZiS!U6</f>
        <v>0</v>
      </c>
      <c r="W24" s="119">
        <f>W20-[1]RZiS!V6</f>
        <v>0</v>
      </c>
      <c r="X24" s="119">
        <f>X20-[1]RZiS!W6</f>
        <v>0</v>
      </c>
    </row>
    <row r="25" spans="1:25" x14ac:dyDescent="0.2">
      <c r="C25" s="107"/>
      <c r="D25" s="107"/>
      <c r="E25" s="107"/>
      <c r="F25" s="107"/>
      <c r="G25" s="107"/>
      <c r="H25" s="107"/>
      <c r="I25" s="107"/>
      <c r="J25" s="107"/>
      <c r="K25" s="107"/>
      <c r="L25" s="107"/>
      <c r="M25" s="107"/>
      <c r="N25" s="107"/>
      <c r="O25" s="107"/>
      <c r="P25" s="107"/>
      <c r="Q25" s="107"/>
      <c r="R25" s="107"/>
      <c r="S25" s="107"/>
      <c r="T25" s="107"/>
      <c r="U25" s="107"/>
      <c r="V25" s="107"/>
      <c r="W25" s="107"/>
      <c r="X25" s="107"/>
    </row>
    <row r="30" spans="1:25" x14ac:dyDescent="0.2">
      <c r="A30" s="3"/>
      <c r="B30" s="3"/>
    </row>
    <row r="31" spans="1:25" x14ac:dyDescent="0.2">
      <c r="A31" s="3"/>
      <c r="B31" s="3"/>
    </row>
    <row r="32" spans="1:25"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96" fitToHeight="0" orientation="landscape" r:id="rId1"/>
  <headerFooter alignWithMargins="0">
    <oddHeader xml:space="preserve">&amp;C&amp;"Times New Roman,Kursywa"&amp;12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5"/>
  <sheetViews>
    <sheetView showGridLines="0" view="pageBreakPreview" zoomScale="90" zoomScaleNormal="100" zoomScaleSheetLayoutView="90" zoomScalePageLayoutView="80" workbookViewId="0">
      <pane xSplit="2" ySplit="3" topLeftCell="C4" activePane="bottomRight" state="frozen"/>
      <selection activeCell="B1" sqref="B1"/>
      <selection pane="topRight" activeCell="B1" sqref="B1"/>
      <selection pane="bottomLeft" activeCell="B1" sqref="B1"/>
      <selection pane="bottomRight" activeCell="B1" sqref="B1:B1048576"/>
    </sheetView>
  </sheetViews>
  <sheetFormatPr defaultColWidth="8.85546875" defaultRowHeight="12.75" outlineLevelCol="1" x14ac:dyDescent="0.2"/>
  <cols>
    <col min="1" max="1" customWidth="true" style="2" width="64.85546875" collapsed="true"/>
    <col min="2" max="2" customWidth="true" hidden="true" style="2" width="64.85546875" collapsed="true" outlineLevel="1"/>
    <col min="3" max="3" bestFit="true" customWidth="true" style="3" width="5.42578125" collapsed="true"/>
    <col min="4" max="24" bestFit="true" customWidth="true" style="3" width="5.42578125" collapsed="true"/>
    <col min="25" max="16384" style="3" width="8.85546875" collapsed="true"/>
  </cols>
  <sheetData>
    <row r="2" spans="1:25" x14ac:dyDescent="0.2">
      <c r="A2" s="385" t="s">
        <v>722</v>
      </c>
      <c r="B2" s="385" t="s">
        <v>5</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5"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5" s="4" customFormat="1" ht="12.75" customHeight="1" x14ac:dyDescent="0.2">
      <c r="A4" s="21" t="s">
        <v>258</v>
      </c>
      <c r="B4" s="21" t="s">
        <v>15</v>
      </c>
      <c r="C4" s="17"/>
      <c r="D4" s="7"/>
      <c r="E4" s="6"/>
      <c r="F4" s="7"/>
      <c r="G4" s="17"/>
      <c r="H4" s="7"/>
      <c r="I4" s="6"/>
      <c r="J4" s="18"/>
      <c r="K4" s="17"/>
      <c r="L4" s="7"/>
      <c r="M4" s="6"/>
      <c r="N4" s="18"/>
      <c r="O4" s="17"/>
      <c r="P4" s="7"/>
      <c r="Q4" s="6"/>
      <c r="R4" s="18"/>
      <c r="S4" s="17"/>
      <c r="T4" s="7"/>
      <c r="U4" s="6"/>
      <c r="V4" s="18"/>
      <c r="W4" s="17"/>
      <c r="X4" s="6"/>
    </row>
    <row r="5" spans="1:25" s="8" customFormat="1" x14ac:dyDescent="0.2">
      <c r="A5" s="121" t="s">
        <v>723</v>
      </c>
      <c r="B5" s="121" t="s">
        <v>80</v>
      </c>
      <c r="C5" s="42"/>
      <c r="D5" s="43"/>
      <c r="E5" s="43"/>
      <c r="F5" s="43"/>
      <c r="G5" s="42"/>
      <c r="H5" s="43"/>
      <c r="I5" s="43"/>
      <c r="J5" s="44"/>
      <c r="K5" s="42"/>
      <c r="L5" s="43"/>
      <c r="M5" s="43"/>
      <c r="N5" s="44"/>
      <c r="O5" s="42"/>
      <c r="P5" s="43"/>
      <c r="Q5" s="43"/>
      <c r="R5" s="44"/>
      <c r="S5" s="42"/>
      <c r="T5" s="43"/>
      <c r="U5" s="43"/>
      <c r="V5" s="44"/>
      <c r="W5" s="42"/>
      <c r="X5" s="43"/>
    </row>
    <row r="6" spans="1:25" s="8" customFormat="1" x14ac:dyDescent="0.2">
      <c r="A6" s="28" t="s">
        <v>351</v>
      </c>
      <c r="B6" s="28" t="s">
        <v>94</v>
      </c>
      <c r="C6" s="42">
        <v>24.6</v>
      </c>
      <c r="D6" s="43">
        <v>27.4</v>
      </c>
      <c r="E6" s="43">
        <v>23.1</v>
      </c>
      <c r="F6" s="43">
        <v>23.7</v>
      </c>
      <c r="G6" s="42">
        <v>22.4</v>
      </c>
      <c r="H6" s="43">
        <v>23.4</v>
      </c>
      <c r="I6" s="43">
        <v>36.9</v>
      </c>
      <c r="J6" s="44">
        <v>56.8</v>
      </c>
      <c r="K6" s="42">
        <v>59.5</v>
      </c>
      <c r="L6" s="43">
        <v>55.1</v>
      </c>
      <c r="M6" s="43">
        <v>50.8</v>
      </c>
      <c r="N6" s="44">
        <v>45.1</v>
      </c>
      <c r="O6" s="42">
        <v>60.6</v>
      </c>
      <c r="P6" s="43">
        <v>59.6</v>
      </c>
      <c r="Q6" s="43">
        <v>61</v>
      </c>
      <c r="R6" s="44">
        <v>62.8</v>
      </c>
      <c r="S6" s="42">
        <v>59.7</v>
      </c>
      <c r="T6" s="43">
        <v>64.400000000000006</v>
      </c>
      <c r="U6" s="43">
        <v>70.3</v>
      </c>
      <c r="V6" s="44">
        <v>69.400000000000006</v>
      </c>
      <c r="W6" s="42">
        <v>65.5</v>
      </c>
      <c r="X6" s="43">
        <v>66.2</v>
      </c>
      <c r="Y6" s="96"/>
    </row>
    <row r="7" spans="1:25" s="8" customFormat="1" x14ac:dyDescent="0.2">
      <c r="A7" s="122" t="s">
        <v>340</v>
      </c>
      <c r="B7" s="122" t="s">
        <v>83</v>
      </c>
      <c r="C7" s="42">
        <v>62.5</v>
      </c>
      <c r="D7" s="43">
        <v>69.099999999999994</v>
      </c>
      <c r="E7" s="43">
        <v>66.599999999999994</v>
      </c>
      <c r="F7" s="43">
        <v>68.3</v>
      </c>
      <c r="G7" s="42">
        <v>68.7</v>
      </c>
      <c r="H7" s="43">
        <v>71.400000000000006</v>
      </c>
      <c r="I7" s="43">
        <v>71.5</v>
      </c>
      <c r="J7" s="44">
        <v>76.099999999999994</v>
      </c>
      <c r="K7" s="42">
        <v>71.2</v>
      </c>
      <c r="L7" s="43">
        <v>71.7</v>
      </c>
      <c r="M7" s="43">
        <v>73.400000000000006</v>
      </c>
      <c r="N7" s="44">
        <v>72.2</v>
      </c>
      <c r="O7" s="42">
        <v>69.8</v>
      </c>
      <c r="P7" s="43">
        <v>66.3</v>
      </c>
      <c r="Q7" s="43">
        <v>64.8</v>
      </c>
      <c r="R7" s="44">
        <v>65.2</v>
      </c>
      <c r="S7" s="42">
        <v>62.1</v>
      </c>
      <c r="T7" s="43">
        <v>64.7</v>
      </c>
      <c r="U7" s="43">
        <v>63.9</v>
      </c>
      <c r="V7" s="44">
        <v>65</v>
      </c>
      <c r="W7" s="42">
        <v>61.7</v>
      </c>
      <c r="X7" s="43">
        <v>63.6</v>
      </c>
      <c r="Y7" s="96"/>
    </row>
    <row r="8" spans="1:25" s="4" customFormat="1" x14ac:dyDescent="0.2">
      <c r="A8" s="123" t="s">
        <v>341</v>
      </c>
      <c r="B8" s="123" t="s">
        <v>84</v>
      </c>
      <c r="C8" s="42">
        <v>25.2</v>
      </c>
      <c r="D8" s="43">
        <v>25.1</v>
      </c>
      <c r="E8" s="43">
        <v>24.8</v>
      </c>
      <c r="F8" s="43">
        <v>28.4</v>
      </c>
      <c r="G8" s="42">
        <v>30.5</v>
      </c>
      <c r="H8" s="43">
        <v>34.700000000000003</v>
      </c>
      <c r="I8" s="43">
        <v>36.9</v>
      </c>
      <c r="J8" s="44">
        <v>35.299999999999997</v>
      </c>
      <c r="K8" s="42">
        <v>33.9</v>
      </c>
      <c r="L8" s="43">
        <v>41.4</v>
      </c>
      <c r="M8" s="43">
        <v>43.6</v>
      </c>
      <c r="N8" s="44">
        <v>43</v>
      </c>
      <c r="O8" s="42">
        <v>39.200000000000003</v>
      </c>
      <c r="P8" s="43">
        <v>43.9</v>
      </c>
      <c r="Q8" s="43">
        <v>48.9</v>
      </c>
      <c r="R8" s="44">
        <v>53</v>
      </c>
      <c r="S8" s="42">
        <v>50.8</v>
      </c>
      <c r="T8" s="43">
        <v>51.1</v>
      </c>
      <c r="U8" s="43">
        <v>52.2</v>
      </c>
      <c r="V8" s="44">
        <v>54.3</v>
      </c>
      <c r="W8" s="42">
        <v>49.6</v>
      </c>
      <c r="X8" s="43">
        <v>51.1</v>
      </c>
      <c r="Y8" s="96"/>
    </row>
    <row r="9" spans="1:25" s="10" customFormat="1" x14ac:dyDescent="0.2">
      <c r="A9" s="28" t="s">
        <v>342</v>
      </c>
      <c r="B9" s="28" t="s">
        <v>85</v>
      </c>
      <c r="C9" s="42">
        <v>27.6</v>
      </c>
      <c r="D9" s="43">
        <v>21.9</v>
      </c>
      <c r="E9" s="43">
        <v>30.7</v>
      </c>
      <c r="F9" s="43">
        <v>29.7</v>
      </c>
      <c r="G9" s="42">
        <v>33.6</v>
      </c>
      <c r="H9" s="43">
        <v>25.8</v>
      </c>
      <c r="I9" s="43">
        <v>30.7</v>
      </c>
      <c r="J9" s="44">
        <v>32.700000000000003</v>
      </c>
      <c r="K9" s="42">
        <v>34.200000000000003</v>
      </c>
      <c r="L9" s="43">
        <v>33.200000000000003</v>
      </c>
      <c r="M9" s="43">
        <v>36.5</v>
      </c>
      <c r="N9" s="44">
        <v>37.9</v>
      </c>
      <c r="O9" s="42">
        <v>36.6</v>
      </c>
      <c r="P9" s="43">
        <v>38.6</v>
      </c>
      <c r="Q9" s="43">
        <v>40.1</v>
      </c>
      <c r="R9" s="44">
        <v>39.5</v>
      </c>
      <c r="S9" s="42">
        <v>42.8</v>
      </c>
      <c r="T9" s="43">
        <v>42.6</v>
      </c>
      <c r="U9" s="43">
        <v>49.1</v>
      </c>
      <c r="V9" s="44">
        <v>44.1</v>
      </c>
      <c r="W9" s="42">
        <v>43.9</v>
      </c>
      <c r="X9" s="43">
        <v>45.1</v>
      </c>
      <c r="Y9" s="96"/>
    </row>
    <row r="10" spans="1:25" s="10" customFormat="1" x14ac:dyDescent="0.2">
      <c r="A10" s="123" t="s">
        <v>343</v>
      </c>
      <c r="B10" s="123" t="s">
        <v>86</v>
      </c>
      <c r="C10" s="42">
        <v>50</v>
      </c>
      <c r="D10" s="43">
        <v>54.9</v>
      </c>
      <c r="E10" s="43">
        <v>58.2</v>
      </c>
      <c r="F10" s="43">
        <v>50.1</v>
      </c>
      <c r="G10" s="42">
        <v>33.700000000000003</v>
      </c>
      <c r="H10" s="43">
        <v>27.9</v>
      </c>
      <c r="I10" s="43">
        <v>21.8</v>
      </c>
      <c r="J10" s="44">
        <v>15.2</v>
      </c>
      <c r="K10" s="42">
        <v>12.2</v>
      </c>
      <c r="L10" s="43">
        <v>14.3</v>
      </c>
      <c r="M10" s="43">
        <v>13.5</v>
      </c>
      <c r="N10" s="44">
        <v>23.2</v>
      </c>
      <c r="O10" s="42">
        <v>16.399999999999999</v>
      </c>
      <c r="P10" s="43">
        <v>20.5</v>
      </c>
      <c r="Q10" s="43">
        <v>21.3</v>
      </c>
      <c r="R10" s="44">
        <v>23.1</v>
      </c>
      <c r="S10" s="42">
        <v>22.6</v>
      </c>
      <c r="T10" s="43">
        <v>23</v>
      </c>
      <c r="U10" s="43">
        <v>18.899999999999999</v>
      </c>
      <c r="V10" s="44">
        <v>15.9</v>
      </c>
      <c r="W10" s="42">
        <v>15.2</v>
      </c>
      <c r="X10" s="43">
        <v>14.8</v>
      </c>
      <c r="Y10" s="96"/>
    </row>
    <row r="11" spans="1:25" s="10" customFormat="1" x14ac:dyDescent="0.2">
      <c r="A11" s="122" t="s">
        <v>339</v>
      </c>
      <c r="B11" s="122" t="s">
        <v>82</v>
      </c>
      <c r="C11" s="42">
        <v>33.1</v>
      </c>
      <c r="D11" s="43">
        <v>32.4</v>
      </c>
      <c r="E11" s="43">
        <v>28.2</v>
      </c>
      <c r="F11" s="43">
        <v>31.1</v>
      </c>
      <c r="G11" s="42">
        <v>25.7</v>
      </c>
      <c r="H11" s="43">
        <v>16.3</v>
      </c>
      <c r="I11" s="43">
        <v>16.2</v>
      </c>
      <c r="J11" s="44">
        <v>17.2</v>
      </c>
      <c r="K11" s="42">
        <v>15.2</v>
      </c>
      <c r="L11" s="43">
        <v>17.3</v>
      </c>
      <c r="M11" s="43">
        <v>20</v>
      </c>
      <c r="N11" s="44">
        <v>21.4</v>
      </c>
      <c r="O11" s="42">
        <v>21.3</v>
      </c>
      <c r="P11" s="43">
        <v>17.399999999999999</v>
      </c>
      <c r="Q11" s="43">
        <v>20.3</v>
      </c>
      <c r="R11" s="44">
        <v>15.9</v>
      </c>
      <c r="S11" s="42">
        <v>19.899999999999999</v>
      </c>
      <c r="T11" s="43">
        <v>23.2</v>
      </c>
      <c r="U11" s="43">
        <v>17.600000000000001</v>
      </c>
      <c r="V11" s="44">
        <v>16.100000000000001</v>
      </c>
      <c r="W11" s="42">
        <v>19.100000000000001</v>
      </c>
      <c r="X11" s="43">
        <v>12.3</v>
      </c>
      <c r="Y11" s="96"/>
    </row>
    <row r="12" spans="1:25" s="8" customFormat="1" x14ac:dyDescent="0.2">
      <c r="A12" s="28" t="s">
        <v>344</v>
      </c>
      <c r="B12" s="28" t="s">
        <v>87</v>
      </c>
      <c r="C12" s="42">
        <v>8.5</v>
      </c>
      <c r="D12" s="43">
        <v>7.4</v>
      </c>
      <c r="E12" s="43">
        <v>9.1999999999999993</v>
      </c>
      <c r="F12" s="43">
        <v>1.8</v>
      </c>
      <c r="G12" s="42">
        <v>7.2</v>
      </c>
      <c r="H12" s="43">
        <v>8</v>
      </c>
      <c r="I12" s="43">
        <v>7.4</v>
      </c>
      <c r="J12" s="44">
        <v>6.6</v>
      </c>
      <c r="K12" s="42">
        <v>6.3</v>
      </c>
      <c r="L12" s="43">
        <v>6.4</v>
      </c>
      <c r="M12" s="43">
        <v>6.4</v>
      </c>
      <c r="N12" s="44">
        <v>6.8</v>
      </c>
      <c r="O12" s="42">
        <v>6.8</v>
      </c>
      <c r="P12" s="43">
        <v>6.9</v>
      </c>
      <c r="Q12" s="43">
        <v>7.5</v>
      </c>
      <c r="R12" s="44">
        <v>7.3</v>
      </c>
      <c r="S12" s="42">
        <v>7.3</v>
      </c>
      <c r="T12" s="43">
        <v>8.1999999999999993</v>
      </c>
      <c r="U12" s="43">
        <v>9</v>
      </c>
      <c r="V12" s="44">
        <v>6.9</v>
      </c>
      <c r="W12" s="42">
        <v>6.5</v>
      </c>
      <c r="X12" s="43">
        <v>7.1</v>
      </c>
      <c r="Y12" s="96"/>
    </row>
    <row r="13" spans="1:25" s="10" customFormat="1" x14ac:dyDescent="0.2">
      <c r="A13" s="123" t="s">
        <v>347</v>
      </c>
      <c r="B13" s="123" t="s">
        <v>90</v>
      </c>
      <c r="C13" s="42">
        <v>0</v>
      </c>
      <c r="D13" s="43">
        <v>0</v>
      </c>
      <c r="E13" s="43">
        <v>0</v>
      </c>
      <c r="F13" s="43">
        <v>0</v>
      </c>
      <c r="G13" s="42">
        <v>0</v>
      </c>
      <c r="H13" s="43">
        <v>0</v>
      </c>
      <c r="I13" s="43">
        <v>2.2000000000000002</v>
      </c>
      <c r="J13" s="44">
        <v>6.8</v>
      </c>
      <c r="K13" s="42">
        <v>11.4</v>
      </c>
      <c r="L13" s="43">
        <v>16.100000000000001</v>
      </c>
      <c r="M13" s="43">
        <v>15.9</v>
      </c>
      <c r="N13" s="44">
        <v>12.7</v>
      </c>
      <c r="O13" s="42">
        <v>1.5</v>
      </c>
      <c r="P13" s="43">
        <v>11.3</v>
      </c>
      <c r="Q13" s="43">
        <v>7</v>
      </c>
      <c r="R13" s="44">
        <v>5.3</v>
      </c>
      <c r="S13" s="42">
        <v>6.2</v>
      </c>
      <c r="T13" s="43">
        <v>4.8</v>
      </c>
      <c r="U13" s="43">
        <v>4.2</v>
      </c>
      <c r="V13" s="44">
        <v>4.5999999999999996</v>
      </c>
      <c r="W13" s="42">
        <v>2.8</v>
      </c>
      <c r="X13" s="43">
        <v>5.9</v>
      </c>
      <c r="Y13" s="96"/>
    </row>
    <row r="14" spans="1:25" s="10" customFormat="1" x14ac:dyDescent="0.2">
      <c r="A14" s="123" t="s">
        <v>345</v>
      </c>
      <c r="B14" s="123" t="s">
        <v>88</v>
      </c>
      <c r="C14" s="42">
        <v>0.1</v>
      </c>
      <c r="D14" s="43">
        <v>0.1</v>
      </c>
      <c r="E14" s="43">
        <v>0.2</v>
      </c>
      <c r="F14" s="43">
        <v>0.2</v>
      </c>
      <c r="G14" s="42">
        <v>0.1</v>
      </c>
      <c r="H14" s="43">
        <v>0.2</v>
      </c>
      <c r="I14" s="43">
        <v>0.2</v>
      </c>
      <c r="J14" s="44">
        <v>0.2</v>
      </c>
      <c r="K14" s="42">
        <v>0.1</v>
      </c>
      <c r="L14" s="43">
        <v>0.1</v>
      </c>
      <c r="M14" s="43">
        <v>0.1</v>
      </c>
      <c r="N14" s="44">
        <v>0.1</v>
      </c>
      <c r="O14" s="42">
        <v>0.1</v>
      </c>
      <c r="P14" s="43">
        <v>0.2</v>
      </c>
      <c r="Q14" s="43">
        <v>0.2</v>
      </c>
      <c r="R14" s="44">
        <v>0.2</v>
      </c>
      <c r="S14" s="42">
        <v>0</v>
      </c>
      <c r="T14" s="43">
        <v>0.2</v>
      </c>
      <c r="U14" s="43">
        <v>0.2</v>
      </c>
      <c r="V14" s="44">
        <v>0.2</v>
      </c>
      <c r="W14" s="42">
        <v>5.5</v>
      </c>
      <c r="X14" s="43">
        <v>5.0999999999999996</v>
      </c>
      <c r="Y14" s="96"/>
    </row>
    <row r="15" spans="1:25" s="10" customFormat="1" x14ac:dyDescent="0.2">
      <c r="A15" s="123" t="s">
        <v>346</v>
      </c>
      <c r="B15" s="123" t="s">
        <v>89</v>
      </c>
      <c r="C15" s="42">
        <v>5.5</v>
      </c>
      <c r="D15" s="43">
        <v>5.8</v>
      </c>
      <c r="E15" s="43">
        <v>5.7</v>
      </c>
      <c r="F15" s="43">
        <v>4.7</v>
      </c>
      <c r="G15" s="42">
        <v>3.9</v>
      </c>
      <c r="H15" s="43">
        <v>4.0999999999999996</v>
      </c>
      <c r="I15" s="43">
        <v>4</v>
      </c>
      <c r="J15" s="44">
        <v>3.8</v>
      </c>
      <c r="K15" s="42">
        <v>3.2</v>
      </c>
      <c r="L15" s="43">
        <v>3.5</v>
      </c>
      <c r="M15" s="43">
        <v>3.9</v>
      </c>
      <c r="N15" s="44">
        <v>3.7</v>
      </c>
      <c r="O15" s="42">
        <v>3.1</v>
      </c>
      <c r="P15" s="43">
        <v>3.2</v>
      </c>
      <c r="Q15" s="43">
        <v>3.2</v>
      </c>
      <c r="R15" s="44">
        <v>3.5</v>
      </c>
      <c r="S15" s="42">
        <v>3.4</v>
      </c>
      <c r="T15" s="43">
        <v>3.7</v>
      </c>
      <c r="U15" s="43">
        <v>3.7</v>
      </c>
      <c r="V15" s="44">
        <v>3.5</v>
      </c>
      <c r="W15" s="42">
        <v>3.3</v>
      </c>
      <c r="X15" s="43">
        <v>3.5</v>
      </c>
      <c r="Y15" s="96"/>
    </row>
    <row r="16" spans="1:25" s="10" customFormat="1" x14ac:dyDescent="0.2">
      <c r="A16" s="28" t="s">
        <v>348</v>
      </c>
      <c r="B16" s="28" t="s">
        <v>91</v>
      </c>
      <c r="C16" s="42">
        <v>0</v>
      </c>
      <c r="D16" s="43">
        <v>0</v>
      </c>
      <c r="E16" s="43">
        <v>0</v>
      </c>
      <c r="F16" s="43">
        <v>0</v>
      </c>
      <c r="G16" s="42">
        <v>0</v>
      </c>
      <c r="H16" s="43">
        <v>0</v>
      </c>
      <c r="I16" s="43">
        <v>0</v>
      </c>
      <c r="J16" s="44">
        <v>0</v>
      </c>
      <c r="K16" s="42">
        <v>0.1</v>
      </c>
      <c r="L16" s="43">
        <v>0.4</v>
      </c>
      <c r="M16" s="43">
        <v>0.4</v>
      </c>
      <c r="N16" s="44">
        <v>3.3</v>
      </c>
      <c r="O16" s="42">
        <v>1.8</v>
      </c>
      <c r="P16" s="43">
        <v>3.3</v>
      </c>
      <c r="Q16" s="43">
        <v>2.4</v>
      </c>
      <c r="R16" s="44">
        <v>2.2999999999999998</v>
      </c>
      <c r="S16" s="42">
        <v>2.2000000000000002</v>
      </c>
      <c r="T16" s="43">
        <v>2.2000000000000002</v>
      </c>
      <c r="U16" s="43">
        <v>2.2000000000000002</v>
      </c>
      <c r="V16" s="44">
        <v>2.2000000000000002</v>
      </c>
      <c r="W16" s="42">
        <v>2.2000000000000002</v>
      </c>
      <c r="X16" s="43">
        <v>2.2999999999999998</v>
      </c>
      <c r="Y16" s="96"/>
    </row>
    <row r="17" spans="1:25" s="10" customFormat="1" x14ac:dyDescent="0.2">
      <c r="A17" s="28" t="s">
        <v>350</v>
      </c>
      <c r="B17" s="28" t="s">
        <v>93</v>
      </c>
      <c r="C17" s="42">
        <v>0.6</v>
      </c>
      <c r="D17" s="43">
        <v>0.8</v>
      </c>
      <c r="E17" s="43">
        <v>0.8</v>
      </c>
      <c r="F17" s="43">
        <v>2</v>
      </c>
      <c r="G17" s="42">
        <v>1.1000000000000001</v>
      </c>
      <c r="H17" s="43">
        <v>1.6</v>
      </c>
      <c r="I17" s="43">
        <v>7.3</v>
      </c>
      <c r="J17" s="44">
        <v>9.4</v>
      </c>
      <c r="K17" s="42">
        <v>3</v>
      </c>
      <c r="L17" s="43">
        <v>4.3</v>
      </c>
      <c r="M17" s="43">
        <v>6.4</v>
      </c>
      <c r="N17" s="44">
        <v>2.9</v>
      </c>
      <c r="O17" s="42">
        <v>0.7</v>
      </c>
      <c r="P17" s="43">
        <v>0.6</v>
      </c>
      <c r="Q17" s="43">
        <v>2.2000000000000002</v>
      </c>
      <c r="R17" s="44">
        <v>9.3000000000000007</v>
      </c>
      <c r="S17" s="42">
        <v>0</v>
      </c>
      <c r="T17" s="43">
        <v>0.3</v>
      </c>
      <c r="U17" s="43">
        <v>0.5</v>
      </c>
      <c r="V17" s="44">
        <v>0.5</v>
      </c>
      <c r="W17" s="42">
        <v>0.5</v>
      </c>
      <c r="X17" s="43">
        <v>0.3</v>
      </c>
      <c r="Y17" s="96"/>
    </row>
    <row r="18" spans="1:25" x14ac:dyDescent="0.2">
      <c r="A18" s="28" t="s">
        <v>349</v>
      </c>
      <c r="B18" s="28" t="s">
        <v>92</v>
      </c>
      <c r="C18" s="42">
        <v>0</v>
      </c>
      <c r="D18" s="43">
        <v>0</v>
      </c>
      <c r="E18" s="43">
        <v>0</v>
      </c>
      <c r="F18" s="43">
        <v>0</v>
      </c>
      <c r="G18" s="42">
        <v>0</v>
      </c>
      <c r="H18" s="43">
        <v>14.5</v>
      </c>
      <c r="I18" s="43">
        <v>4.4000000000000004</v>
      </c>
      <c r="J18" s="44">
        <v>4.7</v>
      </c>
      <c r="K18" s="42">
        <v>1.9</v>
      </c>
      <c r="L18" s="43">
        <v>2.4</v>
      </c>
      <c r="M18" s="43">
        <v>0.2</v>
      </c>
      <c r="N18" s="44">
        <v>0.4</v>
      </c>
      <c r="O18" s="42">
        <v>0.4</v>
      </c>
      <c r="P18" s="43">
        <v>1.9</v>
      </c>
      <c r="Q18" s="43">
        <v>0.1</v>
      </c>
      <c r="R18" s="44">
        <v>0.1</v>
      </c>
      <c r="S18" s="42">
        <v>4.3</v>
      </c>
      <c r="T18" s="43">
        <v>2.9</v>
      </c>
      <c r="U18" s="43">
        <v>0.2</v>
      </c>
      <c r="V18" s="44">
        <v>3.4</v>
      </c>
      <c r="W18" s="42">
        <v>1.1000000000000001</v>
      </c>
      <c r="X18" s="43">
        <v>0</v>
      </c>
      <c r="Y18" s="96"/>
    </row>
    <row r="19" spans="1:25" s="10" customFormat="1" x14ac:dyDescent="0.2">
      <c r="A19" s="123" t="s">
        <v>333</v>
      </c>
      <c r="B19" s="123" t="s">
        <v>95</v>
      </c>
      <c r="C19" s="42">
        <v>1.3</v>
      </c>
      <c r="D19" s="43">
        <v>3.6</v>
      </c>
      <c r="E19" s="43">
        <f>4.4-0.1</f>
        <v>4.3000000000000007</v>
      </c>
      <c r="F19" s="43">
        <v>1.5</v>
      </c>
      <c r="G19" s="42">
        <v>1.9</v>
      </c>
      <c r="H19" s="43">
        <v>7.8000000000000007</v>
      </c>
      <c r="I19" s="43">
        <v>5.2</v>
      </c>
      <c r="J19" s="44">
        <v>3.6999999999999997</v>
      </c>
      <c r="K19" s="42">
        <v>3.9</v>
      </c>
      <c r="L19" s="43">
        <v>9.1</v>
      </c>
      <c r="M19" s="43">
        <v>6.9</v>
      </c>
      <c r="N19" s="44">
        <v>3</v>
      </c>
      <c r="O19" s="42">
        <v>5.8</v>
      </c>
      <c r="P19" s="43">
        <v>3.9</v>
      </c>
      <c r="Q19" s="43">
        <v>8.1999999999999993</v>
      </c>
      <c r="R19" s="44">
        <v>0.7</v>
      </c>
      <c r="S19" s="42">
        <v>4.5999999999999996</v>
      </c>
      <c r="T19" s="43">
        <v>4.4000000000000004</v>
      </c>
      <c r="U19" s="43">
        <v>5.7</v>
      </c>
      <c r="V19" s="44">
        <v>4.7</v>
      </c>
      <c r="W19" s="42">
        <v>3.8</v>
      </c>
      <c r="X19" s="43">
        <f>7.2-0.3+1.2</f>
        <v>8.1</v>
      </c>
      <c r="Y19" s="96"/>
    </row>
    <row r="20" spans="1:25" x14ac:dyDescent="0.2">
      <c r="A20" s="121" t="s">
        <v>724</v>
      </c>
      <c r="B20" s="121" t="s">
        <v>81</v>
      </c>
      <c r="C20" s="49">
        <f t="shared" ref="C20:X20" si="0">SUM(C6:C19)</f>
        <v>239</v>
      </c>
      <c r="D20" s="50">
        <f t="shared" si="0"/>
        <v>248.50000000000003</v>
      </c>
      <c r="E20" s="50">
        <f t="shared" si="0"/>
        <v>251.79999999999995</v>
      </c>
      <c r="F20" s="50">
        <f t="shared" si="0"/>
        <v>241.49999999999997</v>
      </c>
      <c r="G20" s="49">
        <f t="shared" si="0"/>
        <v>228.79999999999995</v>
      </c>
      <c r="H20" s="50">
        <f t="shared" si="0"/>
        <v>235.70000000000002</v>
      </c>
      <c r="I20" s="50">
        <f t="shared" si="0"/>
        <v>244.7</v>
      </c>
      <c r="J20" s="51">
        <f t="shared" si="0"/>
        <v>268.49999999999994</v>
      </c>
      <c r="K20" s="49">
        <f t="shared" si="0"/>
        <v>256.09999999999997</v>
      </c>
      <c r="L20" s="50">
        <f t="shared" si="0"/>
        <v>275.3</v>
      </c>
      <c r="M20" s="50">
        <f t="shared" si="0"/>
        <v>277.99999999999994</v>
      </c>
      <c r="N20" s="51">
        <f t="shared" si="0"/>
        <v>275.7</v>
      </c>
      <c r="O20" s="49">
        <f t="shared" si="0"/>
        <v>264.10000000000002</v>
      </c>
      <c r="P20" s="50">
        <f t="shared" si="0"/>
        <v>277.59999999999997</v>
      </c>
      <c r="Q20" s="50">
        <f t="shared" si="0"/>
        <v>287.19999999999993</v>
      </c>
      <c r="R20" s="51">
        <f t="shared" si="0"/>
        <v>288.20000000000005</v>
      </c>
      <c r="S20" s="49">
        <f t="shared" si="0"/>
        <v>285.90000000000003</v>
      </c>
      <c r="T20" s="50">
        <f t="shared" si="0"/>
        <v>295.69999999999993</v>
      </c>
      <c r="U20" s="50">
        <f t="shared" si="0"/>
        <v>297.69999999999993</v>
      </c>
      <c r="V20" s="51">
        <f t="shared" si="0"/>
        <v>290.79999999999995</v>
      </c>
      <c r="W20" s="49">
        <f t="shared" si="0"/>
        <v>280.70000000000005</v>
      </c>
      <c r="X20" s="50">
        <f t="shared" si="0"/>
        <v>285.40000000000009</v>
      </c>
      <c r="Y20" s="96"/>
    </row>
    <row r="21" spans="1:25" x14ac:dyDescent="0.2">
      <c r="A21" s="123"/>
      <c r="B21" s="123"/>
      <c r="C21" s="42"/>
      <c r="D21" s="43"/>
      <c r="E21" s="43"/>
      <c r="F21" s="43"/>
      <c r="G21" s="42"/>
      <c r="H21" s="43"/>
      <c r="I21" s="43"/>
      <c r="J21" s="44"/>
      <c r="K21" s="42"/>
      <c r="L21" s="43"/>
      <c r="M21" s="43"/>
      <c r="N21" s="44"/>
      <c r="O21" s="42"/>
      <c r="P21" s="43"/>
      <c r="Q21" s="43"/>
      <c r="R21" s="44"/>
      <c r="S21" s="42"/>
      <c r="T21" s="43"/>
      <c r="U21" s="43"/>
      <c r="V21" s="44"/>
      <c r="W21" s="42"/>
      <c r="X21" s="43"/>
      <c r="Y21" s="96"/>
    </row>
    <row r="22" spans="1:25" x14ac:dyDescent="0.2">
      <c r="A22" s="121" t="s">
        <v>725</v>
      </c>
      <c r="B22" s="121" t="s">
        <v>96</v>
      </c>
      <c r="C22" s="49">
        <v>16.7</v>
      </c>
      <c r="D22" s="50">
        <v>15.2</v>
      </c>
      <c r="E22" s="50">
        <v>21.1</v>
      </c>
      <c r="F22" s="50">
        <v>29</v>
      </c>
      <c r="G22" s="49">
        <v>22.1</v>
      </c>
      <c r="H22" s="50">
        <v>19.899999999999999</v>
      </c>
      <c r="I22" s="50">
        <v>16.399999999999999</v>
      </c>
      <c r="J22" s="51">
        <v>29.6</v>
      </c>
      <c r="K22" s="49">
        <v>22.1</v>
      </c>
      <c r="L22" s="50">
        <v>25.4</v>
      </c>
      <c r="M22" s="50">
        <v>25</v>
      </c>
      <c r="N22" s="51">
        <v>48.2</v>
      </c>
      <c r="O22" s="49">
        <v>35.6</v>
      </c>
      <c r="P22" s="50">
        <v>30.7</v>
      </c>
      <c r="Q22" s="50">
        <v>31.6</v>
      </c>
      <c r="R22" s="51">
        <v>31.9</v>
      </c>
      <c r="S22" s="49">
        <v>34.5</v>
      </c>
      <c r="T22" s="50">
        <v>37.299999999999997</v>
      </c>
      <c r="U22" s="50">
        <v>36.299999999999997</v>
      </c>
      <c r="V22" s="51">
        <v>40.799999999999997</v>
      </c>
      <c r="W22" s="49">
        <v>33.700000000000003</v>
      </c>
      <c r="X22" s="50">
        <v>35</v>
      </c>
      <c r="Y22" s="96"/>
    </row>
    <row r="23" spans="1:25" x14ac:dyDescent="0.2">
      <c r="A23" s="123" t="s">
        <v>352</v>
      </c>
      <c r="B23" s="123" t="s">
        <v>97</v>
      </c>
      <c r="C23" s="42">
        <v>1</v>
      </c>
      <c r="D23" s="43">
        <v>1</v>
      </c>
      <c r="E23" s="43">
        <v>1</v>
      </c>
      <c r="F23" s="43">
        <v>1</v>
      </c>
      <c r="G23" s="42">
        <v>1.2</v>
      </c>
      <c r="H23" s="43">
        <v>1.2</v>
      </c>
      <c r="I23" s="43">
        <v>1.2</v>
      </c>
      <c r="J23" s="44">
        <v>1.2</v>
      </c>
      <c r="K23" s="42">
        <v>4.0999999999999996</v>
      </c>
      <c r="L23" s="43">
        <v>4.0999999999999996</v>
      </c>
      <c r="M23" s="43">
        <v>4.0999999999999996</v>
      </c>
      <c r="N23" s="44">
        <v>4.0999999999999996</v>
      </c>
      <c r="O23" s="42">
        <v>3.9</v>
      </c>
      <c r="P23" s="43">
        <v>3.9</v>
      </c>
      <c r="Q23" s="43">
        <v>3.9</v>
      </c>
      <c r="R23" s="44">
        <v>3.9</v>
      </c>
      <c r="S23" s="42">
        <v>9.1</v>
      </c>
      <c r="T23" s="43">
        <v>9.1</v>
      </c>
      <c r="U23" s="43">
        <v>9.1</v>
      </c>
      <c r="V23" s="44">
        <v>9.1</v>
      </c>
      <c r="W23" s="42">
        <v>11</v>
      </c>
      <c r="X23" s="43">
        <v>11</v>
      </c>
      <c r="Y23" s="96"/>
    </row>
    <row r="24" spans="1:25" x14ac:dyDescent="0.2">
      <c r="A24" s="124"/>
      <c r="B24" s="124"/>
      <c r="C24" s="42"/>
      <c r="D24" s="43"/>
      <c r="E24" s="43"/>
      <c r="F24" s="43"/>
      <c r="G24" s="42"/>
      <c r="H24" s="43"/>
      <c r="I24" s="43"/>
      <c r="J24" s="44"/>
      <c r="K24" s="42"/>
      <c r="L24" s="43"/>
      <c r="M24" s="43"/>
      <c r="N24" s="44"/>
      <c r="O24" s="42"/>
      <c r="P24" s="43"/>
      <c r="Q24" s="43"/>
      <c r="R24" s="44"/>
      <c r="S24" s="42"/>
      <c r="T24" s="43"/>
      <c r="U24" s="43"/>
      <c r="V24" s="44"/>
      <c r="W24" s="42"/>
      <c r="X24" s="43"/>
      <c r="Y24" s="96"/>
    </row>
    <row r="25" spans="1:25" s="14" customFormat="1" x14ac:dyDescent="0.2">
      <c r="A25" s="125" t="s">
        <v>264</v>
      </c>
      <c r="B25" s="125" t="s">
        <v>79</v>
      </c>
      <c r="C25" s="103">
        <f>C20-C22</f>
        <v>222.3</v>
      </c>
      <c r="D25" s="104">
        <f t="shared" ref="D25:W25" si="1">D20-D22</f>
        <v>233.30000000000004</v>
      </c>
      <c r="E25" s="104">
        <f>E20-E22</f>
        <v>230.69999999999996</v>
      </c>
      <c r="F25" s="104">
        <f t="shared" si="1"/>
        <v>212.49999999999997</v>
      </c>
      <c r="G25" s="103">
        <f t="shared" si="1"/>
        <v>206.69999999999996</v>
      </c>
      <c r="H25" s="104">
        <f t="shared" si="1"/>
        <v>215.8</v>
      </c>
      <c r="I25" s="104">
        <f t="shared" si="1"/>
        <v>228.29999999999998</v>
      </c>
      <c r="J25" s="105">
        <f t="shared" si="1"/>
        <v>238.89999999999995</v>
      </c>
      <c r="K25" s="103">
        <f t="shared" si="1"/>
        <v>233.99999999999997</v>
      </c>
      <c r="L25" s="104">
        <f t="shared" si="1"/>
        <v>249.9</v>
      </c>
      <c r="M25" s="104">
        <f t="shared" si="1"/>
        <v>252.99999999999994</v>
      </c>
      <c r="N25" s="105">
        <f t="shared" si="1"/>
        <v>227.5</v>
      </c>
      <c r="O25" s="103">
        <f t="shared" si="1"/>
        <v>228.50000000000003</v>
      </c>
      <c r="P25" s="104">
        <f t="shared" si="1"/>
        <v>246.89999999999998</v>
      </c>
      <c r="Q25" s="104">
        <f t="shared" si="1"/>
        <v>255.59999999999994</v>
      </c>
      <c r="R25" s="105">
        <f t="shared" si="1"/>
        <v>256.30000000000007</v>
      </c>
      <c r="S25" s="103">
        <f t="shared" si="1"/>
        <v>251.40000000000003</v>
      </c>
      <c r="T25" s="104">
        <f t="shared" si="1"/>
        <v>258.39999999999992</v>
      </c>
      <c r="U25" s="104">
        <f t="shared" si="1"/>
        <v>261.39999999999992</v>
      </c>
      <c r="V25" s="105">
        <f t="shared" si="1"/>
        <v>249.99999999999994</v>
      </c>
      <c r="W25" s="103">
        <f t="shared" si="1"/>
        <v>247.00000000000006</v>
      </c>
      <c r="X25" s="104">
        <f>X20-X22</f>
        <v>250.40000000000009</v>
      </c>
      <c r="Y25" s="96"/>
    </row>
    <row r="26" spans="1:25" x14ac:dyDescent="0.2">
      <c r="A26" s="3"/>
      <c r="B26" s="3"/>
      <c r="C26" s="107"/>
      <c r="D26" s="107"/>
      <c r="E26" s="107"/>
      <c r="F26" s="107"/>
      <c r="G26" s="107"/>
      <c r="H26" s="107"/>
      <c r="I26" s="107"/>
      <c r="J26" s="107"/>
      <c r="K26" s="107"/>
      <c r="L26" s="107"/>
      <c r="M26" s="107"/>
      <c r="N26" s="107"/>
      <c r="O26" s="107"/>
      <c r="P26" s="107"/>
      <c r="Q26" s="107"/>
      <c r="R26" s="107"/>
      <c r="S26" s="107"/>
      <c r="T26" s="107"/>
      <c r="U26" s="107"/>
      <c r="V26" s="107"/>
      <c r="W26" s="107"/>
      <c r="X26" s="107"/>
    </row>
    <row r="27" spans="1:25" s="120" customFormat="1" ht="11.25" hidden="1" x14ac:dyDescent="0.2">
      <c r="A27" s="118"/>
      <c r="B27" s="118" t="s">
        <v>585</v>
      </c>
      <c r="C27" s="119">
        <f>C20-[1]RZiS!B7</f>
        <v>0</v>
      </c>
      <c r="D27" s="119">
        <f>D20-[1]RZiS!C7</f>
        <v>0</v>
      </c>
      <c r="E27" s="119">
        <f>E20-[1]RZiS!D7</f>
        <v>0</v>
      </c>
      <c r="F27" s="119">
        <f>F20-[1]RZiS!E7</f>
        <v>0</v>
      </c>
      <c r="G27" s="119">
        <f>G20-[1]RZiS!F7</f>
        <v>0</v>
      </c>
      <c r="H27" s="119">
        <f>H20-[1]RZiS!G7</f>
        <v>0</v>
      </c>
      <c r="I27" s="119">
        <f>I20-[1]RZiS!H7</f>
        <v>0</v>
      </c>
      <c r="J27" s="119">
        <f>J20-[1]RZiS!I7</f>
        <v>0</v>
      </c>
      <c r="K27" s="119">
        <f>K20-[1]RZiS!J7</f>
        <v>0</v>
      </c>
      <c r="L27" s="119">
        <f>L20-[1]RZiS!K7</f>
        <v>0</v>
      </c>
      <c r="M27" s="119">
        <f>M20-[1]RZiS!L7</f>
        <v>0</v>
      </c>
      <c r="N27" s="119">
        <f>N20-[1]RZiS!M7</f>
        <v>0</v>
      </c>
      <c r="O27" s="119">
        <f>O20-[1]RZiS!N7</f>
        <v>0</v>
      </c>
      <c r="P27" s="119">
        <f>P20-[1]RZiS!O7</f>
        <v>0</v>
      </c>
      <c r="Q27" s="119">
        <f>Q20-[1]RZiS!P7</f>
        <v>0</v>
      </c>
      <c r="R27" s="119">
        <f>R20-[1]RZiS!Q7</f>
        <v>0</v>
      </c>
      <c r="S27" s="119">
        <f>S20-[1]RZiS!R7</f>
        <v>0</v>
      </c>
      <c r="T27" s="119">
        <f>T20-[1]RZiS!S7</f>
        <v>0</v>
      </c>
      <c r="U27" s="119">
        <f>U20-[1]RZiS!T7</f>
        <v>0</v>
      </c>
      <c r="V27" s="119">
        <f>V20-[1]RZiS!U7</f>
        <v>0</v>
      </c>
      <c r="W27" s="119">
        <f>W20-[1]RZiS!V7</f>
        <v>0</v>
      </c>
      <c r="X27" s="119">
        <f>X20-[1]RZiS!W7</f>
        <v>0</v>
      </c>
    </row>
    <row r="28" spans="1:25" s="120" customFormat="1" ht="11.25" hidden="1" x14ac:dyDescent="0.2">
      <c r="A28" s="118"/>
      <c r="B28" s="118" t="s">
        <v>585</v>
      </c>
      <c r="C28" s="119">
        <f>C22-[1]RZiS!B8</f>
        <v>0</v>
      </c>
      <c r="D28" s="119">
        <f>D22-[1]RZiS!C8</f>
        <v>0</v>
      </c>
      <c r="E28" s="119">
        <f>E22-[1]RZiS!D8</f>
        <v>0</v>
      </c>
      <c r="F28" s="119">
        <f>F22-[1]RZiS!E8</f>
        <v>0</v>
      </c>
      <c r="G28" s="119">
        <f>G22-[1]RZiS!F8</f>
        <v>0</v>
      </c>
      <c r="H28" s="119">
        <f>H22-[1]RZiS!G8</f>
        <v>0</v>
      </c>
      <c r="I28" s="119">
        <f>I22-[1]RZiS!H8</f>
        <v>0</v>
      </c>
      <c r="J28" s="119">
        <f>J22-[1]RZiS!I8</f>
        <v>0</v>
      </c>
      <c r="K28" s="119">
        <f>K22-[1]RZiS!J8</f>
        <v>0</v>
      </c>
      <c r="L28" s="119">
        <f>L22-[1]RZiS!K8</f>
        <v>0</v>
      </c>
      <c r="M28" s="119">
        <f>M22-[1]RZiS!L8</f>
        <v>0</v>
      </c>
      <c r="N28" s="119">
        <f>N22-[1]RZiS!M8</f>
        <v>0</v>
      </c>
      <c r="O28" s="119">
        <f>O22-[1]RZiS!N8</f>
        <v>0</v>
      </c>
      <c r="P28" s="119">
        <f>P22-[1]RZiS!O8</f>
        <v>0</v>
      </c>
      <c r="Q28" s="119">
        <f>Q22-[1]RZiS!P8</f>
        <v>0</v>
      </c>
      <c r="R28" s="119">
        <f>R22-[1]RZiS!Q8</f>
        <v>0</v>
      </c>
      <c r="S28" s="119">
        <f>S22-[1]RZiS!R8</f>
        <v>0</v>
      </c>
      <c r="T28" s="119">
        <f>T22-[1]RZiS!S8</f>
        <v>0</v>
      </c>
      <c r="U28" s="119">
        <f>U22-[1]RZiS!T8</f>
        <v>0</v>
      </c>
      <c r="V28" s="119">
        <f>V22-[1]RZiS!U8</f>
        <v>0</v>
      </c>
      <c r="W28" s="119">
        <f>W22-[1]RZiS!V8</f>
        <v>0</v>
      </c>
      <c r="X28" s="119">
        <f>X22-[1]RZiS!W8</f>
        <v>0</v>
      </c>
    </row>
    <row r="29" spans="1:25" s="120" customFormat="1" ht="11.25" hidden="1" x14ac:dyDescent="0.2">
      <c r="A29" s="118"/>
      <c r="B29" s="118" t="s">
        <v>585</v>
      </c>
      <c r="C29" s="119">
        <f>C25-[1]RZiS!B9</f>
        <v>0</v>
      </c>
      <c r="D29" s="119">
        <f>D25-[1]RZiS!C9</f>
        <v>0</v>
      </c>
      <c r="E29" s="119">
        <f>E25-[1]RZiS!D9</f>
        <v>0</v>
      </c>
      <c r="F29" s="119">
        <f>F25-[1]RZiS!E9</f>
        <v>0</v>
      </c>
      <c r="G29" s="119">
        <f>G25-[1]RZiS!F9</f>
        <v>0</v>
      </c>
      <c r="H29" s="119">
        <f>H25-[1]RZiS!G9</f>
        <v>0</v>
      </c>
      <c r="I29" s="119">
        <f>I25-[1]RZiS!H9</f>
        <v>0</v>
      </c>
      <c r="J29" s="119">
        <f>J25-[1]RZiS!I9</f>
        <v>0</v>
      </c>
      <c r="K29" s="119">
        <f>K25-[1]RZiS!J9</f>
        <v>0</v>
      </c>
      <c r="L29" s="119">
        <f>L25-[1]RZiS!K9</f>
        <v>0</v>
      </c>
      <c r="M29" s="119">
        <f>M25-[1]RZiS!L9</f>
        <v>0</v>
      </c>
      <c r="N29" s="119">
        <f>N25-[1]RZiS!M9</f>
        <v>0</v>
      </c>
      <c r="O29" s="119">
        <f>O25-[1]RZiS!N9</f>
        <v>0</v>
      </c>
      <c r="P29" s="119">
        <f>P25-[1]RZiS!O9</f>
        <v>0</v>
      </c>
      <c r="Q29" s="119">
        <f>Q25-[1]RZiS!P9</f>
        <v>0</v>
      </c>
      <c r="R29" s="119">
        <f>R25-[1]RZiS!Q9</f>
        <v>0</v>
      </c>
      <c r="S29" s="119">
        <f>S25-[1]RZiS!R9</f>
        <v>0</v>
      </c>
      <c r="T29" s="119">
        <f>T25-[1]RZiS!S9</f>
        <v>0</v>
      </c>
      <c r="U29" s="119">
        <f>U25-[1]RZiS!T9</f>
        <v>0</v>
      </c>
      <c r="V29" s="119">
        <f>V25-[1]RZiS!U9</f>
        <v>0</v>
      </c>
      <c r="W29" s="119">
        <f>W25-[1]RZiS!V9</f>
        <v>0</v>
      </c>
      <c r="X29" s="119">
        <f>X25-[1]RZiS!W9</f>
        <v>0</v>
      </c>
    </row>
    <row r="30" spans="1:25" x14ac:dyDescent="0.2">
      <c r="A30" s="3"/>
      <c r="B30" s="3"/>
    </row>
    <row r="31" spans="1:25" x14ac:dyDescent="0.2">
      <c r="A31" s="3"/>
      <c r="B31" s="3"/>
    </row>
    <row r="32" spans="1:25" x14ac:dyDescent="0.2">
      <c r="A32" s="3"/>
      <c r="B32" s="3"/>
    </row>
    <row r="33" spans="1:2" x14ac:dyDescent="0.2">
      <c r="A33" s="3"/>
      <c r="B33" s="3"/>
    </row>
    <row r="34" spans="1:2" x14ac:dyDescent="0.2">
      <c r="A34" s="3"/>
      <c r="B34" s="3"/>
    </row>
    <row r="35" spans="1:2" x14ac:dyDescent="0.2">
      <c r="A35" s="3"/>
      <c r="B35" s="3"/>
    </row>
    <row r="36" spans="1:2" x14ac:dyDescent="0.2">
      <c r="A36" s="3"/>
      <c r="B36" s="3"/>
    </row>
    <row r="37" spans="1:2" x14ac:dyDescent="0.2">
      <c r="A37" s="3"/>
      <c r="B37" s="3"/>
    </row>
    <row r="38" spans="1:2" x14ac:dyDescent="0.2">
      <c r="A38" s="3"/>
      <c r="B38" s="3"/>
    </row>
    <row r="39" spans="1:2" x14ac:dyDescent="0.2">
      <c r="A39" s="3"/>
      <c r="B39" s="3"/>
    </row>
    <row r="40" spans="1:2" x14ac:dyDescent="0.2">
      <c r="A40" s="3"/>
      <c r="B40" s="3"/>
    </row>
    <row r="41" spans="1:2" x14ac:dyDescent="0.2">
      <c r="A41" s="3"/>
      <c r="B41" s="3"/>
    </row>
    <row r="42" spans="1:2" x14ac:dyDescent="0.2">
      <c r="A42" s="3"/>
      <c r="B42" s="3"/>
    </row>
    <row r="43" spans="1:2" x14ac:dyDescent="0.2">
      <c r="A43" s="3"/>
      <c r="B43" s="3"/>
    </row>
    <row r="44" spans="1:2" x14ac:dyDescent="0.2">
      <c r="A44" s="3"/>
      <c r="B44" s="3"/>
    </row>
    <row r="45" spans="1:2" x14ac:dyDescent="0.2">
      <c r="A45" s="3"/>
      <c r="B45" s="3"/>
    </row>
    <row r="46" spans="1:2" x14ac:dyDescent="0.2">
      <c r="A46" s="3"/>
      <c r="B46" s="3"/>
    </row>
    <row r="47" spans="1:2" x14ac:dyDescent="0.2">
      <c r="A47" s="3"/>
      <c r="B47" s="3"/>
    </row>
    <row r="48" spans="1: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63" orientation="landscape" r:id="rId1"/>
  <headerFooter alignWithMargins="0">
    <oddHeader xml:space="preserve">&amp;C&amp;"Times New Roman,Kursywa"&amp;12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8.85546875" defaultRowHeight="12.75" outlineLevelCol="1" x14ac:dyDescent="0.2"/>
  <cols>
    <col min="1" max="1" customWidth="true" style="2" width="54.140625" collapsed="true"/>
    <col min="2" max="2" customWidth="true" hidden="true" style="2" width="54.140625" collapsed="true" outlineLevel="1"/>
    <col min="3" max="3" bestFit="true" customWidth="true" style="3" width="4.5703125" collapsed="true"/>
    <col min="4" max="4" bestFit="true" customWidth="true" style="3" width="4.5703125" collapsed="true"/>
    <col min="5" max="8" bestFit="true" customWidth="true" style="3" width="5.42578125" collapsed="true"/>
    <col min="9" max="10" bestFit="true" customWidth="true" style="3" width="6.0" collapsed="true"/>
    <col min="11" max="11" bestFit="true" customWidth="true" style="3" width="6.7109375" collapsed="true"/>
    <col min="12" max="15" bestFit="true" customWidth="true" style="3" width="6.0" collapsed="true"/>
    <col min="16" max="16" bestFit="true" customWidth="true" style="3" width="5.42578125" collapsed="true"/>
    <col min="17" max="19" bestFit="true" customWidth="true" style="3" width="6.0" collapsed="true"/>
    <col min="20" max="20" bestFit="true" customWidth="true" style="3" width="5.42578125" collapsed="true"/>
    <col min="21" max="21" bestFit="true" customWidth="true" style="3" width="6.0" collapsed="true"/>
    <col min="22" max="22" bestFit="true" customWidth="true" style="3" width="5.140625" collapsed="true"/>
    <col min="23" max="24" bestFit="true" customWidth="true" style="3" width="6.0" collapsed="true"/>
    <col min="25" max="16384" style="3" width="8.85546875" collapsed="true"/>
  </cols>
  <sheetData>
    <row r="1" spans="1:26" x14ac:dyDescent="0.2">
      <c r="X1" s="4"/>
      <c r="Y1" s="4"/>
      <c r="Z1" s="4"/>
    </row>
    <row r="2" spans="1:26" x14ac:dyDescent="0.2">
      <c r="A2" s="385" t="s">
        <v>372</v>
      </c>
      <c r="B2" s="385" t="s">
        <v>99</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c r="Y2" s="4"/>
      <c r="Z2" s="4"/>
    </row>
    <row r="3" spans="1:26"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6" s="4" customFormat="1" ht="12.75" customHeight="1" x14ac:dyDescent="0.2">
      <c r="A4" s="21" t="s">
        <v>258</v>
      </c>
      <c r="B4" s="21" t="s">
        <v>15</v>
      </c>
      <c r="C4" s="17"/>
      <c r="D4" s="7"/>
      <c r="E4" s="6"/>
      <c r="F4" s="7"/>
      <c r="G4" s="17"/>
      <c r="H4" s="7"/>
      <c r="I4" s="6"/>
      <c r="J4" s="18"/>
      <c r="K4" s="17"/>
      <c r="L4" s="7"/>
      <c r="M4" s="6"/>
      <c r="N4" s="18"/>
      <c r="O4" s="17"/>
      <c r="P4" s="7"/>
      <c r="Q4" s="6"/>
      <c r="R4" s="18"/>
      <c r="S4" s="17"/>
      <c r="T4" s="7"/>
      <c r="U4" s="6"/>
      <c r="V4" s="18"/>
      <c r="W4" s="6"/>
      <c r="X4" s="6"/>
    </row>
    <row r="5" spans="1:26" s="8" customFormat="1" ht="22.5" x14ac:dyDescent="0.2">
      <c r="A5" s="98" t="s">
        <v>353</v>
      </c>
      <c r="B5" s="98" t="s">
        <v>100</v>
      </c>
      <c r="C5" s="49">
        <f>C6+C7+C8</f>
        <v>39.299999999999997</v>
      </c>
      <c r="D5" s="50">
        <f t="shared" ref="D5:X5" si="0">D6+D7+D8</f>
        <v>-12.199999999999996</v>
      </c>
      <c r="E5" s="50">
        <f t="shared" si="0"/>
        <v>184.1</v>
      </c>
      <c r="F5" s="50">
        <f t="shared" si="0"/>
        <v>207.50000000000003</v>
      </c>
      <c r="G5" s="49">
        <f t="shared" si="0"/>
        <v>214.8</v>
      </c>
      <c r="H5" s="50">
        <f t="shared" si="0"/>
        <v>-101.3</v>
      </c>
      <c r="I5" s="50">
        <f t="shared" si="0"/>
        <v>-415.3</v>
      </c>
      <c r="J5" s="51">
        <f t="shared" si="0"/>
        <v>230.7</v>
      </c>
      <c r="K5" s="49">
        <f t="shared" si="0"/>
        <v>2813.3000000000006</v>
      </c>
      <c r="L5" s="50">
        <f t="shared" si="0"/>
        <v>-642.29999999999995</v>
      </c>
      <c r="M5" s="50">
        <f t="shared" si="0"/>
        <v>-419</v>
      </c>
      <c r="N5" s="51">
        <f t="shared" si="0"/>
        <v>-275.99999999999994</v>
      </c>
      <c r="O5" s="49">
        <f t="shared" si="0"/>
        <v>-207.2</v>
      </c>
      <c r="P5" s="50">
        <f t="shared" si="0"/>
        <v>207.39999999999998</v>
      </c>
      <c r="Q5" s="50">
        <f t="shared" si="0"/>
        <v>-135.20000000000002</v>
      </c>
      <c r="R5" s="51">
        <f t="shared" si="0"/>
        <v>-201.20000000000002</v>
      </c>
      <c r="S5" s="49">
        <f t="shared" si="0"/>
        <v>-157.20000000000002</v>
      </c>
      <c r="T5" s="50">
        <f t="shared" si="0"/>
        <v>114.19999999999999</v>
      </c>
      <c r="U5" s="50">
        <f t="shared" si="0"/>
        <v>-120.49999999999999</v>
      </c>
      <c r="V5" s="51">
        <f t="shared" si="0"/>
        <v>34.400000000000006</v>
      </c>
      <c r="W5" s="50">
        <f t="shared" si="0"/>
        <v>-82.600000000000009</v>
      </c>
      <c r="X5" s="50">
        <f t="shared" si="0"/>
        <v>-209.00000000000003</v>
      </c>
      <c r="Y5" s="96"/>
    </row>
    <row r="6" spans="1:26" s="8" customFormat="1" x14ac:dyDescent="0.2">
      <c r="A6" s="41" t="s">
        <v>354</v>
      </c>
      <c r="B6" s="41" t="s">
        <v>101</v>
      </c>
      <c r="C6" s="42">
        <v>-0.7</v>
      </c>
      <c r="D6" s="43">
        <v>2.1</v>
      </c>
      <c r="E6" s="43">
        <v>0.2</v>
      </c>
      <c r="F6" s="43">
        <v>-4.5999999999999996</v>
      </c>
      <c r="G6" s="42">
        <v>-9.1999999999999993</v>
      </c>
      <c r="H6" s="43">
        <v>-1.3</v>
      </c>
      <c r="I6" s="43">
        <v>-1.8</v>
      </c>
      <c r="J6" s="44">
        <v>-6.7</v>
      </c>
      <c r="K6" s="42">
        <v>-0.7</v>
      </c>
      <c r="L6" s="43">
        <v>2.8</v>
      </c>
      <c r="M6" s="43">
        <v>4.9000000000000004</v>
      </c>
      <c r="N6" s="44">
        <v>-0.5</v>
      </c>
      <c r="O6" s="42">
        <v>0</v>
      </c>
      <c r="P6" s="43">
        <v>-0.3</v>
      </c>
      <c r="Q6" s="43">
        <v>1.9</v>
      </c>
      <c r="R6" s="44">
        <v>0</v>
      </c>
      <c r="S6" s="42">
        <v>-1</v>
      </c>
      <c r="T6" s="43">
        <v>-0.2</v>
      </c>
      <c r="U6" s="43">
        <v>-3.5</v>
      </c>
      <c r="V6" s="44">
        <v>0.6</v>
      </c>
      <c r="W6" s="43">
        <v>0</v>
      </c>
      <c r="X6" s="43">
        <v>0</v>
      </c>
      <c r="Y6" s="96"/>
    </row>
    <row r="7" spans="1:26" s="8" customFormat="1" x14ac:dyDescent="0.2">
      <c r="A7" s="41" t="s">
        <v>355</v>
      </c>
      <c r="B7" s="41" t="s">
        <v>102</v>
      </c>
      <c r="C7" s="42">
        <v>8</v>
      </c>
      <c r="D7" s="43">
        <v>-46.4</v>
      </c>
      <c r="E7" s="43">
        <v>5.7</v>
      </c>
      <c r="F7" s="43">
        <v>-16.399999999999999</v>
      </c>
      <c r="G7" s="42">
        <v>39.5</v>
      </c>
      <c r="H7" s="43">
        <v>-79.599999999999994</v>
      </c>
      <c r="I7" s="43">
        <v>71.5</v>
      </c>
      <c r="J7" s="44">
        <v>-113.9</v>
      </c>
      <c r="K7" s="42">
        <v>-5.5</v>
      </c>
      <c r="L7" s="43">
        <v>-8</v>
      </c>
      <c r="M7" s="43">
        <v>51.2</v>
      </c>
      <c r="N7" s="44">
        <v>20.6</v>
      </c>
      <c r="O7" s="42">
        <v>35.200000000000003</v>
      </c>
      <c r="P7" s="43">
        <v>7.3</v>
      </c>
      <c r="Q7" s="43">
        <v>3.3</v>
      </c>
      <c r="R7" s="44">
        <v>4.2</v>
      </c>
      <c r="S7" s="42">
        <v>8.9</v>
      </c>
      <c r="T7" s="43">
        <v>5</v>
      </c>
      <c r="U7" s="43">
        <v>4.4000000000000004</v>
      </c>
      <c r="V7" s="44">
        <v>10.8</v>
      </c>
      <c r="W7" s="43">
        <v>11.6</v>
      </c>
      <c r="X7" s="43">
        <v>3.1</v>
      </c>
      <c r="Y7" s="96"/>
    </row>
    <row r="8" spans="1:26" s="4" customFormat="1" x14ac:dyDescent="0.2">
      <c r="A8" s="97" t="s">
        <v>356</v>
      </c>
      <c r="B8" s="97" t="s">
        <v>105</v>
      </c>
      <c r="C8" s="42">
        <f>SUM(C9:C11)</f>
        <v>32</v>
      </c>
      <c r="D8" s="43">
        <f t="shared" ref="D8:X8" si="1">SUM(D9:D11)</f>
        <v>32.1</v>
      </c>
      <c r="E8" s="43">
        <f t="shared" si="1"/>
        <v>178.2</v>
      </c>
      <c r="F8" s="43">
        <f t="shared" si="1"/>
        <v>228.50000000000003</v>
      </c>
      <c r="G8" s="42">
        <f t="shared" si="1"/>
        <v>184.5</v>
      </c>
      <c r="H8" s="43">
        <f t="shared" si="1"/>
        <v>-20.400000000000006</v>
      </c>
      <c r="I8" s="43">
        <f t="shared" si="1"/>
        <v>-485</v>
      </c>
      <c r="J8" s="44">
        <f t="shared" si="1"/>
        <v>351.3</v>
      </c>
      <c r="K8" s="42">
        <f t="shared" si="1"/>
        <v>2819.5000000000005</v>
      </c>
      <c r="L8" s="43">
        <f t="shared" si="1"/>
        <v>-637.09999999999991</v>
      </c>
      <c r="M8" s="43">
        <f t="shared" si="1"/>
        <v>-475.1</v>
      </c>
      <c r="N8" s="44">
        <f t="shared" si="1"/>
        <v>-296.09999999999997</v>
      </c>
      <c r="O8" s="42">
        <f t="shared" si="1"/>
        <v>-242.39999999999998</v>
      </c>
      <c r="P8" s="43">
        <f t="shared" si="1"/>
        <v>200.39999999999998</v>
      </c>
      <c r="Q8" s="43">
        <f t="shared" si="1"/>
        <v>-140.4</v>
      </c>
      <c r="R8" s="44">
        <f t="shared" si="1"/>
        <v>-205.4</v>
      </c>
      <c r="S8" s="42">
        <f t="shared" si="1"/>
        <v>-165.10000000000002</v>
      </c>
      <c r="T8" s="43">
        <f t="shared" si="1"/>
        <v>109.39999999999999</v>
      </c>
      <c r="U8" s="43">
        <f t="shared" si="1"/>
        <v>-121.39999999999999</v>
      </c>
      <c r="V8" s="44">
        <f t="shared" si="1"/>
        <v>23.000000000000004</v>
      </c>
      <c r="W8" s="43">
        <f t="shared" si="1"/>
        <v>-94.2</v>
      </c>
      <c r="X8" s="43">
        <f t="shared" si="1"/>
        <v>-212.10000000000002</v>
      </c>
      <c r="Y8" s="96"/>
    </row>
    <row r="9" spans="1:26" s="73" customFormat="1" x14ac:dyDescent="0.2">
      <c r="A9" s="126" t="s">
        <v>357</v>
      </c>
      <c r="B9" s="126" t="s">
        <v>106</v>
      </c>
      <c r="C9" s="60">
        <v>32.4</v>
      </c>
      <c r="D9" s="61">
        <v>13.1</v>
      </c>
      <c r="E9" s="61">
        <v>190.6</v>
      </c>
      <c r="F9" s="61">
        <v>268.60000000000002</v>
      </c>
      <c r="G9" s="60">
        <v>198</v>
      </c>
      <c r="H9" s="61">
        <v>-88.9</v>
      </c>
      <c r="I9" s="61">
        <v>-457.8</v>
      </c>
      <c r="J9" s="62">
        <v>628</v>
      </c>
      <c r="K9" s="60">
        <v>2777.4</v>
      </c>
      <c r="L9" s="61">
        <v>-732.5</v>
      </c>
      <c r="M9" s="61">
        <v>-495.8</v>
      </c>
      <c r="N9" s="62">
        <v>-357.2</v>
      </c>
      <c r="O9" s="60">
        <v>-241.7</v>
      </c>
      <c r="P9" s="61">
        <v>179.2</v>
      </c>
      <c r="Q9" s="61">
        <v>-150.80000000000001</v>
      </c>
      <c r="R9" s="62">
        <v>-210.1</v>
      </c>
      <c r="S9" s="60">
        <v>-167.3</v>
      </c>
      <c r="T9" s="61">
        <v>98.6</v>
      </c>
      <c r="U9" s="61">
        <v>-143</v>
      </c>
      <c r="V9" s="62">
        <v>50.2</v>
      </c>
      <c r="W9" s="61">
        <v>-101</v>
      </c>
      <c r="X9" s="61">
        <v>-213.9</v>
      </c>
      <c r="Y9" s="96"/>
    </row>
    <row r="10" spans="1:26" s="73" customFormat="1" x14ac:dyDescent="0.2">
      <c r="A10" s="127" t="s">
        <v>358</v>
      </c>
      <c r="B10" s="127" t="s">
        <v>107</v>
      </c>
      <c r="C10" s="60">
        <v>8.6</v>
      </c>
      <c r="D10" s="61">
        <v>4.7</v>
      </c>
      <c r="E10" s="61">
        <v>-15.9</v>
      </c>
      <c r="F10" s="61">
        <v>-48.7</v>
      </c>
      <c r="G10" s="60">
        <v>-27.8</v>
      </c>
      <c r="H10" s="61">
        <v>62.6</v>
      </c>
      <c r="I10" s="61">
        <v>-35.9</v>
      </c>
      <c r="J10" s="62">
        <v>-279.8</v>
      </c>
      <c r="K10" s="60">
        <v>38.299999999999997</v>
      </c>
      <c r="L10" s="61">
        <v>94.2</v>
      </c>
      <c r="M10" s="61">
        <v>21.7</v>
      </c>
      <c r="N10" s="62">
        <v>57.1</v>
      </c>
      <c r="O10" s="60">
        <v>-2.5</v>
      </c>
      <c r="P10" s="61">
        <v>19.7</v>
      </c>
      <c r="Q10" s="61">
        <v>10.5</v>
      </c>
      <c r="R10" s="62">
        <v>2.7</v>
      </c>
      <c r="S10" s="60">
        <v>0</v>
      </c>
      <c r="T10" s="61">
        <v>9.6999999999999993</v>
      </c>
      <c r="U10" s="61">
        <v>17.2</v>
      </c>
      <c r="V10" s="62">
        <v>-27</v>
      </c>
      <c r="W10" s="61">
        <v>6.3</v>
      </c>
      <c r="X10" s="61">
        <v>1.2</v>
      </c>
      <c r="Y10" s="96"/>
    </row>
    <row r="11" spans="1:26" s="73" customFormat="1" x14ac:dyDescent="0.2">
      <c r="A11" s="126" t="s">
        <v>359</v>
      </c>
      <c r="B11" s="126" t="s">
        <v>103</v>
      </c>
      <c r="C11" s="60">
        <v>-9</v>
      </c>
      <c r="D11" s="61">
        <v>14.3</v>
      </c>
      <c r="E11" s="61">
        <v>3.5</v>
      </c>
      <c r="F11" s="61">
        <v>8.6</v>
      </c>
      <c r="G11" s="60">
        <v>14.3</v>
      </c>
      <c r="H11" s="61">
        <v>5.9</v>
      </c>
      <c r="I11" s="61">
        <v>8.6999999999999993</v>
      </c>
      <c r="J11" s="62">
        <v>3.1</v>
      </c>
      <c r="K11" s="60">
        <v>3.8</v>
      </c>
      <c r="L11" s="61">
        <v>1.2</v>
      </c>
      <c r="M11" s="61">
        <v>-1</v>
      </c>
      <c r="N11" s="62">
        <v>4</v>
      </c>
      <c r="O11" s="60">
        <v>1.8</v>
      </c>
      <c r="P11" s="61">
        <v>1.5</v>
      </c>
      <c r="Q11" s="61">
        <v>-0.1</v>
      </c>
      <c r="R11" s="62">
        <v>2</v>
      </c>
      <c r="S11" s="60">
        <v>2.2000000000000002</v>
      </c>
      <c r="T11" s="61">
        <v>1.1000000000000001</v>
      </c>
      <c r="U11" s="61">
        <v>4.4000000000000004</v>
      </c>
      <c r="V11" s="62">
        <v>-0.2</v>
      </c>
      <c r="W11" s="61">
        <v>0.5</v>
      </c>
      <c r="X11" s="61">
        <v>0.6</v>
      </c>
      <c r="Y11" s="96"/>
    </row>
    <row r="12" spans="1:26" s="8" customFormat="1" ht="22.5" x14ac:dyDescent="0.2">
      <c r="A12" s="98" t="s">
        <v>360</v>
      </c>
      <c r="B12" s="98" t="s">
        <v>108</v>
      </c>
      <c r="C12" s="42">
        <f t="shared" ref="C12:X12" si="2">C13+C14</f>
        <v>0.8</v>
      </c>
      <c r="D12" s="43">
        <f t="shared" si="2"/>
        <v>2.2999999999999998</v>
      </c>
      <c r="E12" s="43">
        <f t="shared" si="2"/>
        <v>0.4</v>
      </c>
      <c r="F12" s="44">
        <f t="shared" si="2"/>
        <v>2.9</v>
      </c>
      <c r="G12" s="43">
        <f t="shared" si="2"/>
        <v>17.899999999999999</v>
      </c>
      <c r="H12" s="43">
        <f t="shared" si="2"/>
        <v>-14.200000000000001</v>
      </c>
      <c r="I12" s="43">
        <f t="shared" si="2"/>
        <v>-6.1000000000000005</v>
      </c>
      <c r="J12" s="43">
        <f t="shared" si="2"/>
        <v>5.2</v>
      </c>
      <c r="K12" s="42">
        <f t="shared" si="2"/>
        <v>-1.7000000000000002</v>
      </c>
      <c r="L12" s="43">
        <f t="shared" si="2"/>
        <v>-0.2</v>
      </c>
      <c r="M12" s="43">
        <f t="shared" si="2"/>
        <v>0</v>
      </c>
      <c r="N12" s="44">
        <f t="shared" si="2"/>
        <v>-0.8</v>
      </c>
      <c r="O12" s="43">
        <f t="shared" si="2"/>
        <v>-0.2</v>
      </c>
      <c r="P12" s="43">
        <f t="shared" si="2"/>
        <v>-1.4</v>
      </c>
      <c r="Q12" s="43">
        <f t="shared" si="2"/>
        <v>-1.4</v>
      </c>
      <c r="R12" s="43">
        <f t="shared" si="2"/>
        <v>-1</v>
      </c>
      <c r="S12" s="42">
        <f t="shared" si="2"/>
        <v>-0.3</v>
      </c>
      <c r="T12" s="43">
        <f t="shared" si="2"/>
        <v>-0.5</v>
      </c>
      <c r="U12" s="43">
        <f t="shared" si="2"/>
        <v>0</v>
      </c>
      <c r="V12" s="44">
        <f t="shared" si="2"/>
        <v>0</v>
      </c>
      <c r="W12" s="43">
        <f t="shared" si="2"/>
        <v>0.6</v>
      </c>
      <c r="X12" s="43">
        <f t="shared" si="2"/>
        <v>-1.2</v>
      </c>
      <c r="Y12" s="96"/>
    </row>
    <row r="13" spans="1:26" s="10" customFormat="1" x14ac:dyDescent="0.2">
      <c r="A13" s="97" t="s">
        <v>355</v>
      </c>
      <c r="B13" s="97" t="s">
        <v>102</v>
      </c>
      <c r="C13" s="42">
        <v>0.8</v>
      </c>
      <c r="D13" s="43">
        <v>2.2999999999999998</v>
      </c>
      <c r="E13" s="43">
        <v>0.4</v>
      </c>
      <c r="F13" s="43">
        <v>2.9</v>
      </c>
      <c r="G13" s="42">
        <v>-0.1</v>
      </c>
      <c r="H13" s="43">
        <v>-1.9</v>
      </c>
      <c r="I13" s="43">
        <v>1.8</v>
      </c>
      <c r="J13" s="44">
        <v>0.8</v>
      </c>
      <c r="K13" s="42">
        <v>0.4</v>
      </c>
      <c r="L13" s="43">
        <v>-0.2</v>
      </c>
      <c r="M13" s="43">
        <v>0</v>
      </c>
      <c r="N13" s="44">
        <v>-0.8</v>
      </c>
      <c r="O13" s="42">
        <v>-0.2</v>
      </c>
      <c r="P13" s="43">
        <v>-1.4</v>
      </c>
      <c r="Q13" s="43">
        <v>-1.4</v>
      </c>
      <c r="R13" s="44">
        <v>-1</v>
      </c>
      <c r="S13" s="42">
        <v>-0.3</v>
      </c>
      <c r="T13" s="43">
        <v>-0.5</v>
      </c>
      <c r="U13" s="43">
        <v>0</v>
      </c>
      <c r="V13" s="44">
        <v>0</v>
      </c>
      <c r="W13" s="43">
        <v>0.6</v>
      </c>
      <c r="X13" s="43">
        <v>-1.2</v>
      </c>
      <c r="Y13" s="96"/>
    </row>
    <row r="14" spans="1:26" s="10" customFormat="1" ht="22.5" x14ac:dyDescent="0.2">
      <c r="A14" s="97" t="s">
        <v>662</v>
      </c>
      <c r="B14" s="97" t="s">
        <v>586</v>
      </c>
      <c r="C14" s="42">
        <v>0</v>
      </c>
      <c r="D14" s="43">
        <v>0</v>
      </c>
      <c r="E14" s="43">
        <v>0</v>
      </c>
      <c r="F14" s="43">
        <v>0</v>
      </c>
      <c r="G14" s="42">
        <v>18</v>
      </c>
      <c r="H14" s="43">
        <v>-12.3</v>
      </c>
      <c r="I14" s="43">
        <v>-7.9</v>
      </c>
      <c r="J14" s="44">
        <f>2.3+2.1</f>
        <v>4.4000000000000004</v>
      </c>
      <c r="K14" s="42">
        <v>-2.1</v>
      </c>
      <c r="L14" s="43">
        <v>0</v>
      </c>
      <c r="M14" s="43">
        <v>0</v>
      </c>
      <c r="N14" s="44">
        <v>0</v>
      </c>
      <c r="O14" s="42">
        <v>0</v>
      </c>
      <c r="P14" s="43">
        <v>0</v>
      </c>
      <c r="Q14" s="43">
        <v>0</v>
      </c>
      <c r="R14" s="44">
        <v>0</v>
      </c>
      <c r="S14" s="42">
        <v>0</v>
      </c>
      <c r="T14" s="43">
        <v>0</v>
      </c>
      <c r="U14" s="43">
        <v>0</v>
      </c>
      <c r="V14" s="44">
        <v>0</v>
      </c>
      <c r="W14" s="43">
        <v>0</v>
      </c>
      <c r="X14" s="43">
        <v>0</v>
      </c>
      <c r="Y14" s="96"/>
    </row>
    <row r="15" spans="1:26" s="10" customFormat="1" x14ac:dyDescent="0.2">
      <c r="A15" s="128" t="s">
        <v>361</v>
      </c>
      <c r="B15" s="128" t="s">
        <v>104</v>
      </c>
      <c r="C15" s="42">
        <v>-2.2999999999999998</v>
      </c>
      <c r="D15" s="43">
        <v>27.3</v>
      </c>
      <c r="E15" s="43">
        <v>-148.19999999999999</v>
      </c>
      <c r="F15" s="43">
        <v>-218.9</v>
      </c>
      <c r="G15" s="42">
        <v>-160.19999999999999</v>
      </c>
      <c r="H15" s="43">
        <v>180.3</v>
      </c>
      <c r="I15" s="43">
        <v>474.8</v>
      </c>
      <c r="J15" s="44">
        <v>-543.79999999999995</v>
      </c>
      <c r="K15" s="42">
        <v>-2835.6</v>
      </c>
      <c r="L15" s="43">
        <v>686.1</v>
      </c>
      <c r="M15" s="43">
        <v>477.8</v>
      </c>
      <c r="N15" s="44">
        <v>296.3</v>
      </c>
      <c r="O15" s="42">
        <v>235.9</v>
      </c>
      <c r="P15" s="43">
        <v>-183.2</v>
      </c>
      <c r="Q15" s="43">
        <v>161</v>
      </c>
      <c r="R15" s="44">
        <v>204</v>
      </c>
      <c r="S15" s="42">
        <v>184.3</v>
      </c>
      <c r="T15" s="43">
        <v>-102.3</v>
      </c>
      <c r="U15" s="43">
        <v>112.4</v>
      </c>
      <c r="V15" s="44">
        <v>-46.2</v>
      </c>
      <c r="W15" s="43">
        <v>135.69999999999999</v>
      </c>
      <c r="X15" s="43">
        <v>222.5</v>
      </c>
      <c r="Y15" s="96"/>
    </row>
    <row r="16" spans="1:26" s="129" customFormat="1" ht="22.5" x14ac:dyDescent="0.2">
      <c r="A16" s="109" t="s">
        <v>509</v>
      </c>
      <c r="B16" s="109" t="s">
        <v>98</v>
      </c>
      <c r="C16" s="103">
        <f>C5+C12+C15</f>
        <v>37.799999999999997</v>
      </c>
      <c r="D16" s="104">
        <f t="shared" ref="D16:X16" si="3">D5+D12+D15</f>
        <v>17.400000000000006</v>
      </c>
      <c r="E16" s="104">
        <f t="shared" si="3"/>
        <v>36.300000000000011</v>
      </c>
      <c r="F16" s="104">
        <f t="shared" si="3"/>
        <v>-8.4999999999999716</v>
      </c>
      <c r="G16" s="103">
        <f t="shared" si="3"/>
        <v>72.500000000000028</v>
      </c>
      <c r="H16" s="104">
        <f t="shared" si="3"/>
        <v>64.800000000000011</v>
      </c>
      <c r="I16" s="104">
        <f>I5+I12+I15</f>
        <v>53.399999999999977</v>
      </c>
      <c r="J16" s="105">
        <f t="shared" si="3"/>
        <v>-307.89999999999998</v>
      </c>
      <c r="K16" s="103">
        <f t="shared" si="3"/>
        <v>-23.999999999999091</v>
      </c>
      <c r="L16" s="104">
        <f t="shared" si="3"/>
        <v>43.600000000000023</v>
      </c>
      <c r="M16" s="104">
        <f t="shared" si="3"/>
        <v>58.800000000000011</v>
      </c>
      <c r="N16" s="105">
        <f t="shared" si="3"/>
        <v>19.500000000000057</v>
      </c>
      <c r="O16" s="103">
        <f t="shared" si="3"/>
        <v>28.500000000000028</v>
      </c>
      <c r="P16" s="104">
        <f t="shared" si="3"/>
        <v>22.799999999999983</v>
      </c>
      <c r="Q16" s="104">
        <f t="shared" si="3"/>
        <v>24.399999999999977</v>
      </c>
      <c r="R16" s="105">
        <f t="shared" si="3"/>
        <v>1.7999999999999829</v>
      </c>
      <c r="S16" s="103">
        <f t="shared" si="3"/>
        <v>26.799999999999983</v>
      </c>
      <c r="T16" s="104">
        <f t="shared" si="3"/>
        <v>11.399999999999991</v>
      </c>
      <c r="U16" s="104">
        <f t="shared" si="3"/>
        <v>-8.0999999999999801</v>
      </c>
      <c r="V16" s="105">
        <f t="shared" si="3"/>
        <v>-11.799999999999997</v>
      </c>
      <c r="W16" s="104">
        <f t="shared" si="3"/>
        <v>53.699999999999974</v>
      </c>
      <c r="X16" s="104">
        <f t="shared" si="3"/>
        <v>12.299999999999983</v>
      </c>
      <c r="Y16" s="96"/>
    </row>
    <row r="17" spans="1:57" s="10" customFormat="1" x14ac:dyDescent="0.2">
      <c r="A17" s="99"/>
      <c r="B17" s="99"/>
      <c r="C17" s="42"/>
      <c r="D17" s="43"/>
      <c r="E17" s="43"/>
      <c r="F17" s="43"/>
      <c r="G17" s="42"/>
      <c r="H17" s="43"/>
      <c r="I17" s="43"/>
      <c r="J17" s="44"/>
      <c r="K17" s="42"/>
      <c r="L17" s="43"/>
      <c r="M17" s="43"/>
      <c r="N17" s="44"/>
      <c r="O17" s="42"/>
      <c r="P17" s="43"/>
      <c r="Q17" s="43"/>
      <c r="R17" s="44"/>
      <c r="S17" s="42"/>
      <c r="T17" s="43"/>
      <c r="U17" s="43"/>
      <c r="V17" s="44"/>
      <c r="W17" s="43"/>
      <c r="X17" s="43"/>
      <c r="Y17" s="96"/>
    </row>
    <row r="18" spans="1:57" s="10" customFormat="1" x14ac:dyDescent="0.2">
      <c r="A18" s="99" t="s">
        <v>362</v>
      </c>
      <c r="B18" s="99" t="s">
        <v>109</v>
      </c>
      <c r="C18" s="42">
        <v>14.6</v>
      </c>
      <c r="D18" s="43">
        <v>0</v>
      </c>
      <c r="E18" s="43">
        <v>0</v>
      </c>
      <c r="F18" s="43">
        <v>0</v>
      </c>
      <c r="G18" s="42">
        <v>0.1</v>
      </c>
      <c r="H18" s="43">
        <v>25.4</v>
      </c>
      <c r="I18" s="43">
        <v>0</v>
      </c>
      <c r="J18" s="44">
        <v>2.6</v>
      </c>
      <c r="K18" s="42">
        <v>0</v>
      </c>
      <c r="L18" s="43">
        <v>4.0999999999999996</v>
      </c>
      <c r="M18" s="43">
        <v>0.1</v>
      </c>
      <c r="N18" s="44">
        <v>-0.1</v>
      </c>
      <c r="O18" s="42">
        <v>0</v>
      </c>
      <c r="P18" s="43">
        <v>0</v>
      </c>
      <c r="Q18" s="43">
        <v>0.2</v>
      </c>
      <c r="R18" s="44">
        <v>0</v>
      </c>
      <c r="S18" s="42">
        <v>0</v>
      </c>
      <c r="T18" s="43">
        <v>0</v>
      </c>
      <c r="U18" s="43">
        <v>0</v>
      </c>
      <c r="V18" s="44">
        <v>1.4</v>
      </c>
      <c r="W18" s="43">
        <v>6.8</v>
      </c>
      <c r="X18" s="43">
        <f t="shared" ref="X18" si="4">S18+T18</f>
        <v>0</v>
      </c>
      <c r="Y18" s="96"/>
    </row>
    <row r="19" spans="1:57" s="10" customFormat="1" x14ac:dyDescent="0.2">
      <c r="A19" s="99" t="s">
        <v>363</v>
      </c>
      <c r="B19" s="99" t="s">
        <v>110</v>
      </c>
      <c r="C19" s="42">
        <v>2.2999999999999998</v>
      </c>
      <c r="D19" s="43">
        <v>4.7</v>
      </c>
      <c r="E19" s="43">
        <v>0.6</v>
      </c>
      <c r="F19" s="43">
        <v>0</v>
      </c>
      <c r="G19" s="42">
        <v>0</v>
      </c>
      <c r="H19" s="43">
        <v>-3.7</v>
      </c>
      <c r="I19" s="43">
        <v>-0.7</v>
      </c>
      <c r="J19" s="44">
        <v>0</v>
      </c>
      <c r="K19" s="42">
        <v>0.3</v>
      </c>
      <c r="L19" s="43">
        <v>0.2</v>
      </c>
      <c r="M19" s="43">
        <v>5.2</v>
      </c>
      <c r="N19" s="44">
        <v>-10.7</v>
      </c>
      <c r="O19" s="42">
        <v>3.8</v>
      </c>
      <c r="P19" s="43">
        <v>-0.5</v>
      </c>
      <c r="Q19" s="43">
        <v>-0.4</v>
      </c>
      <c r="R19" s="44">
        <v>-5.7</v>
      </c>
      <c r="S19" s="42">
        <v>18.2</v>
      </c>
      <c r="T19" s="43">
        <v>-0.2</v>
      </c>
      <c r="U19" s="43">
        <v>7.4</v>
      </c>
      <c r="V19" s="44">
        <v>4.3</v>
      </c>
      <c r="W19" s="43">
        <v>12.3</v>
      </c>
      <c r="X19" s="43">
        <v>2.5</v>
      </c>
      <c r="Y19" s="96"/>
    </row>
    <row r="20" spans="1:57" s="4" customFormat="1" x14ac:dyDescent="0.2">
      <c r="A20" s="123" t="s">
        <v>364</v>
      </c>
      <c r="B20" s="123" t="s">
        <v>111</v>
      </c>
      <c r="C20" s="42">
        <v>0</v>
      </c>
      <c r="D20" s="43">
        <v>1.4</v>
      </c>
      <c r="E20" s="43">
        <v>1.3</v>
      </c>
      <c r="F20" s="43">
        <v>0.1</v>
      </c>
      <c r="G20" s="42">
        <v>0</v>
      </c>
      <c r="H20" s="43">
        <v>2.4</v>
      </c>
      <c r="I20" s="43">
        <v>0.4</v>
      </c>
      <c r="J20" s="44">
        <v>4.3</v>
      </c>
      <c r="K20" s="42">
        <v>0</v>
      </c>
      <c r="L20" s="43">
        <v>4</v>
      </c>
      <c r="M20" s="43">
        <v>0.1</v>
      </c>
      <c r="N20" s="44">
        <v>0.1</v>
      </c>
      <c r="O20" s="42">
        <f>0.3-0.1</f>
        <v>0.19999999999999998</v>
      </c>
      <c r="P20" s="43">
        <v>3.5</v>
      </c>
      <c r="Q20" s="43">
        <v>1</v>
      </c>
      <c r="R20" s="44">
        <v>0.1</v>
      </c>
      <c r="S20" s="42">
        <v>0</v>
      </c>
      <c r="T20" s="43">
        <v>4.4000000000000004</v>
      </c>
      <c r="U20" s="43">
        <v>0.3</v>
      </c>
      <c r="V20" s="44">
        <v>0.2</v>
      </c>
      <c r="W20" s="43">
        <v>0</v>
      </c>
      <c r="X20" s="43">
        <v>4.0999999999999996</v>
      </c>
      <c r="Y20" s="96"/>
    </row>
    <row r="21" spans="1:57" s="4" customFormat="1" x14ac:dyDescent="0.2">
      <c r="A21" s="99" t="s">
        <v>588</v>
      </c>
      <c r="B21" s="99" t="s">
        <v>587</v>
      </c>
      <c r="C21" s="42">
        <v>0</v>
      </c>
      <c r="D21" s="43">
        <v>0</v>
      </c>
      <c r="E21" s="43">
        <v>0</v>
      </c>
      <c r="F21" s="43">
        <v>0</v>
      </c>
      <c r="G21" s="42">
        <v>0</v>
      </c>
      <c r="H21" s="43">
        <v>0</v>
      </c>
      <c r="I21" s="43">
        <v>0</v>
      </c>
      <c r="J21" s="44">
        <v>0</v>
      </c>
      <c r="K21" s="42">
        <v>0</v>
      </c>
      <c r="L21" s="43">
        <v>0</v>
      </c>
      <c r="M21" s="43">
        <v>0</v>
      </c>
      <c r="N21" s="44">
        <v>0</v>
      </c>
      <c r="O21" s="42">
        <v>0</v>
      </c>
      <c r="P21" s="43">
        <v>0</v>
      </c>
      <c r="Q21" s="43">
        <v>0</v>
      </c>
      <c r="R21" s="44">
        <v>0</v>
      </c>
      <c r="S21" s="42">
        <v>0</v>
      </c>
      <c r="T21" s="43">
        <v>2</v>
      </c>
      <c r="U21" s="43">
        <v>0</v>
      </c>
      <c r="V21" s="44">
        <v>0</v>
      </c>
      <c r="W21" s="43">
        <v>0</v>
      </c>
      <c r="X21" s="43">
        <v>0</v>
      </c>
      <c r="Y21" s="96"/>
    </row>
    <row r="22" spans="1:57" s="14" customFormat="1" x14ac:dyDescent="0.2">
      <c r="A22" s="109" t="s">
        <v>365</v>
      </c>
      <c r="B22" s="109" t="s">
        <v>112</v>
      </c>
      <c r="C22" s="103">
        <f t="shared" ref="C22:V22" si="5">SUM(C18:C21)</f>
        <v>16.899999999999999</v>
      </c>
      <c r="D22" s="104">
        <f t="shared" si="5"/>
        <v>6.1</v>
      </c>
      <c r="E22" s="104">
        <f t="shared" si="5"/>
        <v>1.9</v>
      </c>
      <c r="F22" s="105">
        <f t="shared" si="5"/>
        <v>0.1</v>
      </c>
      <c r="G22" s="104">
        <f t="shared" si="5"/>
        <v>0.1</v>
      </c>
      <c r="H22" s="104">
        <f t="shared" si="5"/>
        <v>24.099999999999998</v>
      </c>
      <c r="I22" s="104">
        <f t="shared" si="5"/>
        <v>-0.29999999999999993</v>
      </c>
      <c r="J22" s="104">
        <f t="shared" si="5"/>
        <v>6.9</v>
      </c>
      <c r="K22" s="103">
        <f t="shared" si="5"/>
        <v>0.3</v>
      </c>
      <c r="L22" s="104">
        <f t="shared" si="5"/>
        <v>8.3000000000000007</v>
      </c>
      <c r="M22" s="104">
        <f t="shared" si="5"/>
        <v>5.3999999999999995</v>
      </c>
      <c r="N22" s="105">
        <f t="shared" si="5"/>
        <v>-10.7</v>
      </c>
      <c r="O22" s="104">
        <f t="shared" si="5"/>
        <v>4</v>
      </c>
      <c r="P22" s="104">
        <f t="shared" si="5"/>
        <v>3</v>
      </c>
      <c r="Q22" s="104">
        <f t="shared" si="5"/>
        <v>0.8</v>
      </c>
      <c r="R22" s="104">
        <f t="shared" si="5"/>
        <v>-5.6000000000000005</v>
      </c>
      <c r="S22" s="103">
        <f t="shared" si="5"/>
        <v>18.2</v>
      </c>
      <c r="T22" s="104">
        <f t="shared" si="5"/>
        <v>6.2</v>
      </c>
      <c r="U22" s="104">
        <f t="shared" si="5"/>
        <v>7.7</v>
      </c>
      <c r="V22" s="105">
        <f t="shared" si="5"/>
        <v>5.8999999999999995</v>
      </c>
      <c r="W22" s="104">
        <f>SUM(W18:W21)</f>
        <v>19.100000000000001</v>
      </c>
      <c r="X22" s="104">
        <f>SUM(X18:X21)</f>
        <v>6.6</v>
      </c>
      <c r="Y22" s="96"/>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x14ac:dyDescent="0.2">
      <c r="A23" s="130"/>
      <c r="B23" s="130"/>
      <c r="C23" s="42"/>
      <c r="D23" s="43"/>
      <c r="E23" s="43"/>
      <c r="F23" s="43"/>
      <c r="G23" s="42"/>
      <c r="H23" s="43"/>
      <c r="I23" s="43"/>
      <c r="J23" s="44"/>
      <c r="K23" s="42"/>
      <c r="L23" s="43"/>
      <c r="M23" s="43"/>
      <c r="N23" s="44"/>
      <c r="O23" s="42"/>
      <c r="P23" s="43"/>
      <c r="Q23" s="43"/>
      <c r="R23" s="44"/>
      <c r="S23" s="42"/>
      <c r="T23" s="43"/>
      <c r="U23" s="43"/>
      <c r="V23" s="44"/>
      <c r="W23" s="43"/>
      <c r="X23" s="43"/>
      <c r="Y23" s="96"/>
    </row>
    <row r="24" spans="1:57" ht="22.5" x14ac:dyDescent="0.2">
      <c r="A24" s="98" t="s">
        <v>366</v>
      </c>
      <c r="B24" s="98" t="s">
        <v>113</v>
      </c>
      <c r="C24" s="42">
        <f>C25+C26</f>
        <v>0</v>
      </c>
      <c r="D24" s="43">
        <f t="shared" ref="D24:X24" si="6">D25+D26</f>
        <v>-0.19999999999999996</v>
      </c>
      <c r="E24" s="43">
        <f t="shared" si="6"/>
        <v>1.6</v>
      </c>
      <c r="F24" s="43">
        <f t="shared" si="6"/>
        <v>-0.59999999999999964</v>
      </c>
      <c r="G24" s="42">
        <f t="shared" si="6"/>
        <v>0.69999999999999973</v>
      </c>
      <c r="H24" s="43">
        <f t="shared" si="6"/>
        <v>-0.70000000000000284</v>
      </c>
      <c r="I24" s="43">
        <f t="shared" si="6"/>
        <v>2.5</v>
      </c>
      <c r="J24" s="44">
        <f t="shared" si="6"/>
        <v>2.0999999999999659</v>
      </c>
      <c r="K24" s="42">
        <f t="shared" si="6"/>
        <v>18</v>
      </c>
      <c r="L24" s="43">
        <f t="shared" si="6"/>
        <v>5.7999999999999972</v>
      </c>
      <c r="M24" s="43">
        <f t="shared" si="6"/>
        <v>-6.8000000000000043</v>
      </c>
      <c r="N24" s="44">
        <f t="shared" si="6"/>
        <v>3.2999999999999972</v>
      </c>
      <c r="O24" s="42">
        <f t="shared" si="6"/>
        <v>-7</v>
      </c>
      <c r="P24" s="43">
        <f t="shared" si="6"/>
        <v>-15.300000000000011</v>
      </c>
      <c r="Q24" s="43">
        <f t="shared" si="6"/>
        <v>-7.9000000000000057</v>
      </c>
      <c r="R24" s="44">
        <f t="shared" si="6"/>
        <v>18</v>
      </c>
      <c r="S24" s="42">
        <f t="shared" si="6"/>
        <v>-15.899999999999991</v>
      </c>
      <c r="T24" s="43">
        <f t="shared" si="6"/>
        <v>-5.6000000000000085</v>
      </c>
      <c r="U24" s="43">
        <f t="shared" si="6"/>
        <v>-21.900000000000006</v>
      </c>
      <c r="V24" s="44">
        <f t="shared" si="6"/>
        <v>7.6999999999999993</v>
      </c>
      <c r="W24" s="43">
        <f t="shared" si="6"/>
        <v>2.3999999999999986</v>
      </c>
      <c r="X24" s="43">
        <f t="shared" si="6"/>
        <v>-5.6000000000000014</v>
      </c>
      <c r="Y24" s="96"/>
    </row>
    <row r="25" spans="1:57" x14ac:dyDescent="0.2">
      <c r="A25" s="41" t="s">
        <v>367</v>
      </c>
      <c r="B25" s="41" t="s">
        <v>116</v>
      </c>
      <c r="C25" s="42">
        <v>0</v>
      </c>
      <c r="D25" s="43">
        <v>-1.2</v>
      </c>
      <c r="E25" s="43">
        <v>1</v>
      </c>
      <c r="F25" s="43">
        <v>-5.0999999999999996</v>
      </c>
      <c r="G25" s="42">
        <v>3.8</v>
      </c>
      <c r="H25" s="43">
        <v>71.3</v>
      </c>
      <c r="I25" s="43">
        <v>-16.3</v>
      </c>
      <c r="J25" s="44">
        <v>268.2</v>
      </c>
      <c r="K25" s="42">
        <v>-24.6</v>
      </c>
      <c r="L25" s="43">
        <v>-112.4</v>
      </c>
      <c r="M25" s="43">
        <v>61.1</v>
      </c>
      <c r="N25" s="44">
        <v>-66.400000000000006</v>
      </c>
      <c r="O25" s="42">
        <v>133.1</v>
      </c>
      <c r="P25" s="43">
        <v>129.19999999999999</v>
      </c>
      <c r="Q25" s="43">
        <v>76.099999999999994</v>
      </c>
      <c r="R25" s="44">
        <v>-224.1</v>
      </c>
      <c r="S25" s="42">
        <v>-128.69999999999999</v>
      </c>
      <c r="T25" s="43">
        <v>76.3</v>
      </c>
      <c r="U25" s="43">
        <v>205.9</v>
      </c>
      <c r="V25" s="44">
        <v>20.399999999999999</v>
      </c>
      <c r="W25" s="43">
        <v>33.799999999999997</v>
      </c>
      <c r="X25" s="43">
        <v>57.8</v>
      </c>
      <c r="Y25" s="96"/>
    </row>
    <row r="26" spans="1:57" x14ac:dyDescent="0.2">
      <c r="A26" s="41" t="s">
        <v>368</v>
      </c>
      <c r="B26" s="41" t="s">
        <v>117</v>
      </c>
      <c r="C26" s="42">
        <v>0</v>
      </c>
      <c r="D26" s="43">
        <v>1</v>
      </c>
      <c r="E26" s="43">
        <v>0.6</v>
      </c>
      <c r="F26" s="43">
        <v>4.5</v>
      </c>
      <c r="G26" s="42">
        <v>-3.1</v>
      </c>
      <c r="H26" s="43">
        <v>-72</v>
      </c>
      <c r="I26" s="43">
        <v>18.8</v>
      </c>
      <c r="J26" s="44">
        <v>-266.10000000000002</v>
      </c>
      <c r="K26" s="42">
        <v>42.6</v>
      </c>
      <c r="L26" s="43">
        <v>118.2</v>
      </c>
      <c r="M26" s="43">
        <v>-67.900000000000006</v>
      </c>
      <c r="N26" s="44">
        <v>69.7</v>
      </c>
      <c r="O26" s="42">
        <v>-140.1</v>
      </c>
      <c r="P26" s="43">
        <v>-144.5</v>
      </c>
      <c r="Q26" s="43">
        <v>-84</v>
      </c>
      <c r="R26" s="44">
        <v>242.1</v>
      </c>
      <c r="S26" s="42">
        <v>112.8</v>
      </c>
      <c r="T26" s="43">
        <v>-81.900000000000006</v>
      </c>
      <c r="U26" s="43">
        <v>-227.8</v>
      </c>
      <c r="V26" s="44">
        <v>-12.7</v>
      </c>
      <c r="W26" s="43">
        <v>-31.4</v>
      </c>
      <c r="X26" s="43">
        <v>-63.4</v>
      </c>
      <c r="Y26" s="96"/>
    </row>
    <row r="27" spans="1:57" s="14" customFormat="1" x14ac:dyDescent="0.2">
      <c r="A27" s="98" t="s">
        <v>369</v>
      </c>
      <c r="B27" s="98" t="s">
        <v>114</v>
      </c>
      <c r="C27" s="42">
        <f>C28</f>
        <v>0</v>
      </c>
      <c r="D27" s="43">
        <f t="shared" ref="D27:W27" si="7">D28</f>
        <v>0</v>
      </c>
      <c r="E27" s="43">
        <f t="shared" si="7"/>
        <v>0</v>
      </c>
      <c r="F27" s="43">
        <f t="shared" si="7"/>
        <v>0</v>
      </c>
      <c r="G27" s="42">
        <f t="shared" si="7"/>
        <v>0</v>
      </c>
      <c r="H27" s="43">
        <f t="shared" si="7"/>
        <v>0</v>
      </c>
      <c r="I27" s="43">
        <f t="shared" si="7"/>
        <v>0.2</v>
      </c>
      <c r="J27" s="43">
        <f t="shared" si="7"/>
        <v>-0.2</v>
      </c>
      <c r="K27" s="42">
        <f t="shared" si="7"/>
        <v>-0.1</v>
      </c>
      <c r="L27" s="43">
        <f t="shared" si="7"/>
        <v>0.2</v>
      </c>
      <c r="M27" s="43">
        <f t="shared" si="7"/>
        <v>0.1</v>
      </c>
      <c r="N27" s="43">
        <f t="shared" si="7"/>
        <v>-0.4</v>
      </c>
      <c r="O27" s="42">
        <f t="shared" si="7"/>
        <v>0.1</v>
      </c>
      <c r="P27" s="43">
        <f t="shared" si="7"/>
        <v>0</v>
      </c>
      <c r="Q27" s="43">
        <f t="shared" si="7"/>
        <v>0</v>
      </c>
      <c r="R27" s="43">
        <f t="shared" si="7"/>
        <v>0</v>
      </c>
      <c r="S27" s="42">
        <f t="shared" si="7"/>
        <v>-0.4</v>
      </c>
      <c r="T27" s="43">
        <f t="shared" si="7"/>
        <v>2.4</v>
      </c>
      <c r="U27" s="43">
        <f t="shared" si="7"/>
        <v>-1.7</v>
      </c>
      <c r="V27" s="43">
        <f t="shared" si="7"/>
        <v>2</v>
      </c>
      <c r="W27" s="42">
        <f t="shared" si="7"/>
        <v>-0.7</v>
      </c>
      <c r="X27" s="43">
        <v>0.4</v>
      </c>
      <c r="Y27" s="96"/>
    </row>
    <row r="28" spans="1:57" x14ac:dyDescent="0.2">
      <c r="A28" s="124" t="s">
        <v>370</v>
      </c>
      <c r="B28" s="124" t="s">
        <v>118</v>
      </c>
      <c r="C28" s="42">
        <v>0</v>
      </c>
      <c r="D28" s="43">
        <v>0</v>
      </c>
      <c r="E28" s="43">
        <v>0</v>
      </c>
      <c r="F28" s="43">
        <v>0</v>
      </c>
      <c r="G28" s="42">
        <v>0</v>
      </c>
      <c r="H28" s="43">
        <v>0</v>
      </c>
      <c r="I28" s="43">
        <v>0.2</v>
      </c>
      <c r="J28" s="44">
        <v>-0.2</v>
      </c>
      <c r="K28" s="42">
        <v>-0.1</v>
      </c>
      <c r="L28" s="43">
        <v>0.2</v>
      </c>
      <c r="M28" s="43">
        <v>0.1</v>
      </c>
      <c r="N28" s="44">
        <v>-0.4</v>
      </c>
      <c r="O28" s="42">
        <v>0.1</v>
      </c>
      <c r="P28" s="43">
        <v>0</v>
      </c>
      <c r="Q28" s="43">
        <v>0</v>
      </c>
      <c r="R28" s="44">
        <v>0</v>
      </c>
      <c r="S28" s="42">
        <v>-0.4</v>
      </c>
      <c r="T28" s="43">
        <v>2.4</v>
      </c>
      <c r="U28" s="43">
        <v>-1.7</v>
      </c>
      <c r="V28" s="44">
        <v>2</v>
      </c>
      <c r="W28" s="43">
        <v>-0.7</v>
      </c>
      <c r="X28" s="43">
        <v>0.4</v>
      </c>
      <c r="Y28" s="96"/>
    </row>
    <row r="29" spans="1:57" s="14" customFormat="1" x14ac:dyDescent="0.2">
      <c r="A29" s="109" t="s">
        <v>371</v>
      </c>
      <c r="B29" s="109" t="s">
        <v>119</v>
      </c>
      <c r="C29" s="103">
        <f>C24+C27</f>
        <v>0</v>
      </c>
      <c r="D29" s="104">
        <f t="shared" ref="D29:X29" si="8">D24+D27</f>
        <v>-0.19999999999999996</v>
      </c>
      <c r="E29" s="104">
        <f t="shared" si="8"/>
        <v>1.6</v>
      </c>
      <c r="F29" s="104">
        <f t="shared" si="8"/>
        <v>-0.59999999999999964</v>
      </c>
      <c r="G29" s="103">
        <f t="shared" si="8"/>
        <v>0.69999999999999973</v>
      </c>
      <c r="H29" s="104">
        <f t="shared" si="8"/>
        <v>-0.70000000000000284</v>
      </c>
      <c r="I29" s="104">
        <f t="shared" si="8"/>
        <v>2.7</v>
      </c>
      <c r="J29" s="105">
        <f t="shared" si="8"/>
        <v>1.8999999999999659</v>
      </c>
      <c r="K29" s="103">
        <f t="shared" si="8"/>
        <v>17.899999999999999</v>
      </c>
      <c r="L29" s="104">
        <f t="shared" si="8"/>
        <v>5.9999999999999973</v>
      </c>
      <c r="M29" s="104">
        <f t="shared" si="8"/>
        <v>-6.7000000000000046</v>
      </c>
      <c r="N29" s="105">
        <f t="shared" si="8"/>
        <v>2.8999999999999972</v>
      </c>
      <c r="O29" s="103">
        <f t="shared" si="8"/>
        <v>-6.9</v>
      </c>
      <c r="P29" s="104">
        <f t="shared" si="8"/>
        <v>-15.300000000000011</v>
      </c>
      <c r="Q29" s="104">
        <f t="shared" si="8"/>
        <v>-7.9000000000000057</v>
      </c>
      <c r="R29" s="105">
        <f t="shared" si="8"/>
        <v>18</v>
      </c>
      <c r="S29" s="103">
        <f t="shared" si="8"/>
        <v>-16.29999999999999</v>
      </c>
      <c r="T29" s="104">
        <f t="shared" si="8"/>
        <v>-3.2000000000000086</v>
      </c>
      <c r="U29" s="104">
        <f t="shared" si="8"/>
        <v>-23.600000000000005</v>
      </c>
      <c r="V29" s="105">
        <f t="shared" si="8"/>
        <v>9.6999999999999993</v>
      </c>
      <c r="W29" s="104">
        <f t="shared" si="8"/>
        <v>1.6999999999999986</v>
      </c>
      <c r="X29" s="104">
        <f t="shared" si="8"/>
        <v>-5.2000000000000011</v>
      </c>
      <c r="Y29" s="96"/>
    </row>
    <row r="30" spans="1:57" x14ac:dyDescent="0.2">
      <c r="A30" s="107"/>
      <c r="B30" s="107"/>
      <c r="C30" s="107"/>
      <c r="D30" s="107"/>
      <c r="E30" s="107"/>
      <c r="F30" s="107"/>
      <c r="G30" s="107"/>
      <c r="H30" s="107"/>
      <c r="I30" s="107"/>
      <c r="J30" s="107"/>
      <c r="K30" s="107"/>
      <c r="L30" s="107"/>
      <c r="M30" s="107"/>
      <c r="N30" s="107"/>
      <c r="O30" s="107"/>
      <c r="P30" s="107"/>
      <c r="Q30" s="107"/>
      <c r="R30" s="107"/>
      <c r="S30" s="107"/>
      <c r="T30" s="107"/>
      <c r="U30" s="107"/>
      <c r="V30" s="107"/>
    </row>
    <row r="31" spans="1:57" s="120" customFormat="1" ht="11.25" hidden="1" x14ac:dyDescent="0.2">
      <c r="A31" s="119">
        <f>C16-[1]RZiS!B10</f>
        <v>0</v>
      </c>
      <c r="B31" s="119">
        <f>D16-[1]RZiS!C10</f>
        <v>0</v>
      </c>
      <c r="C31" s="119">
        <f>E16-[1]RZiS!D10</f>
        <v>0</v>
      </c>
      <c r="D31" s="119">
        <f>F16-[1]RZiS!E10</f>
        <v>0</v>
      </c>
      <c r="E31" s="119">
        <f>G16-[1]RZiS!F10</f>
        <v>0</v>
      </c>
      <c r="F31" s="119">
        <f>H16-[1]RZiS!G10</f>
        <v>0</v>
      </c>
      <c r="G31" s="119">
        <f>I16-[1]RZiS!H10</f>
        <v>0</v>
      </c>
      <c r="H31" s="119">
        <f>J16-[1]RZiS!I10</f>
        <v>0</v>
      </c>
      <c r="I31" s="119">
        <f>K16-[1]RZiS!J10</f>
        <v>9.0949470177292824E-13</v>
      </c>
      <c r="J31" s="119">
        <f>L16-[1]RZiS!K10</f>
        <v>0</v>
      </c>
      <c r="K31" s="119">
        <f>M16-[1]RZiS!L10</f>
        <v>0</v>
      </c>
      <c r="L31" s="119">
        <f>N16-[1]RZiS!M10</f>
        <v>5.6843418860808015E-14</v>
      </c>
      <c r="M31" s="119">
        <f>O16-[1]RZiS!N10</f>
        <v>2.8421709430404007E-14</v>
      </c>
      <c r="N31" s="119">
        <f>P16-[1]RZiS!O10</f>
        <v>0</v>
      </c>
      <c r="O31" s="119">
        <f>Q16-[1]RZiS!P10</f>
        <v>0</v>
      </c>
      <c r="P31" s="119">
        <f>R16-[1]RZiS!Q10</f>
        <v>-1.7097434579227411E-14</v>
      </c>
      <c r="Q31" s="119">
        <f>S16-[1]RZiS!R10</f>
        <v>0</v>
      </c>
      <c r="R31" s="119">
        <f>T16-[1]RZiS!S10</f>
        <v>0</v>
      </c>
      <c r="S31" s="119">
        <f>U16-[1]RZiS!T10</f>
        <v>1.9539925233402755E-14</v>
      </c>
      <c r="T31" s="119">
        <f>V16-[1]RZiS!U10</f>
        <v>0</v>
      </c>
      <c r="U31" s="119">
        <f>W16-[1]RZiS!V10</f>
        <v>0</v>
      </c>
      <c r="V31" s="119">
        <f>X16-[1]RZiS!W10</f>
        <v>-1.7763568394002505E-14</v>
      </c>
    </row>
    <row r="32" spans="1:57" s="120" customFormat="1" ht="11.25" hidden="1" x14ac:dyDescent="0.2">
      <c r="A32" s="119">
        <f>C22-[1]RZiS!B11</f>
        <v>0</v>
      </c>
      <c r="B32" s="119">
        <f>D22-[1]RZiS!C11</f>
        <v>0</v>
      </c>
      <c r="C32" s="119">
        <f>E22-[1]RZiS!D11</f>
        <v>0</v>
      </c>
      <c r="D32" s="119">
        <f>F22-[1]RZiS!E11</f>
        <v>0</v>
      </c>
      <c r="E32" s="119">
        <f>G22-[1]RZiS!F11</f>
        <v>0</v>
      </c>
      <c r="F32" s="119">
        <f>H22-[1]RZiS!G11</f>
        <v>0</v>
      </c>
      <c r="G32" s="119">
        <f>I22-[1]RZiS!H11</f>
        <v>0</v>
      </c>
      <c r="H32" s="119">
        <f>J22-[1]RZiS!I11</f>
        <v>0</v>
      </c>
      <c r="I32" s="119">
        <f>K22-[1]RZiS!J11</f>
        <v>0</v>
      </c>
      <c r="J32" s="119">
        <f>L22-[1]RZiS!K11</f>
        <v>0</v>
      </c>
      <c r="K32" s="119">
        <f>M22-[1]RZiS!L11</f>
        <v>0</v>
      </c>
      <c r="L32" s="119">
        <f>N22-[1]RZiS!M11</f>
        <v>0</v>
      </c>
      <c r="M32" s="119">
        <f>O22-[1]RZiS!N11</f>
        <v>0</v>
      </c>
      <c r="N32" s="119">
        <f>P22-[1]RZiS!O11</f>
        <v>0</v>
      </c>
      <c r="O32" s="119">
        <f>Q22-[1]RZiS!P11</f>
        <v>0</v>
      </c>
      <c r="P32" s="119">
        <f>R22-[1]RZiS!Q11</f>
        <v>0</v>
      </c>
      <c r="Q32" s="119">
        <f>S22-[1]RZiS!R11</f>
        <v>0</v>
      </c>
      <c r="R32" s="119">
        <f>T22-[1]RZiS!S11</f>
        <v>0</v>
      </c>
      <c r="S32" s="119">
        <f>U22-[1]RZiS!T11</f>
        <v>0</v>
      </c>
      <c r="T32" s="119">
        <f>V22-[1]RZiS!U11</f>
        <v>0</v>
      </c>
      <c r="U32" s="119">
        <f>W22-[1]RZiS!V11</f>
        <v>0</v>
      </c>
      <c r="V32" s="119">
        <f>X22-[1]RZiS!W11</f>
        <v>0</v>
      </c>
    </row>
    <row r="33" spans="1:22" s="120" customFormat="1" ht="11.25" hidden="1" x14ac:dyDescent="0.2">
      <c r="A33" s="119">
        <f>C29-[1]RZiS!B12</f>
        <v>0</v>
      </c>
      <c r="B33" s="119">
        <f>D29-[1]RZiS!C12</f>
        <v>0</v>
      </c>
      <c r="C33" s="119">
        <f>E29-[1]RZiS!D12</f>
        <v>0</v>
      </c>
      <c r="D33" s="119">
        <f>F29-[1]RZiS!E12</f>
        <v>0</v>
      </c>
      <c r="E33" s="119">
        <f>G29-[1]RZiS!F12</f>
        <v>0</v>
      </c>
      <c r="F33" s="119">
        <f>H29-[1]RZiS!G12</f>
        <v>-2.886579864025407E-15</v>
      </c>
      <c r="G33" s="119">
        <f>I29-[1]RZiS!H12</f>
        <v>0</v>
      </c>
      <c r="H33" s="119">
        <f>J29-[1]RZiS!I12</f>
        <v>-3.397282455352979E-14</v>
      </c>
      <c r="I33" s="119">
        <f>K29-[1]RZiS!J12</f>
        <v>0</v>
      </c>
      <c r="J33" s="119">
        <f>L29-[1]RZiS!K12</f>
        <v>0</v>
      </c>
      <c r="K33" s="119">
        <f>M29-[1]RZiS!L12</f>
        <v>0</v>
      </c>
      <c r="L33" s="119">
        <f>N29-[1]RZiS!M12</f>
        <v>0</v>
      </c>
      <c r="M33" s="119">
        <f>O29-[1]RZiS!N12</f>
        <v>0</v>
      </c>
      <c r="N33" s="119">
        <f>P29-[1]RZiS!O12</f>
        <v>0</v>
      </c>
      <c r="O33" s="119">
        <f>Q29-[1]RZiS!P12</f>
        <v>0</v>
      </c>
      <c r="P33" s="119">
        <f>R29-[1]RZiS!Q12</f>
        <v>0</v>
      </c>
      <c r="Q33" s="119">
        <f>S29-[1]RZiS!R12</f>
        <v>0</v>
      </c>
      <c r="R33" s="119">
        <f>T29-[1]RZiS!S12</f>
        <v>-8.4376949871511897E-15</v>
      </c>
      <c r="S33" s="119">
        <f>U29-[1]RZiS!T12</f>
        <v>0</v>
      </c>
      <c r="T33" s="119">
        <f>V29-[1]RZiS!U12</f>
        <v>0</v>
      </c>
      <c r="U33" s="119">
        <f>W29-[1]RZiS!V12</f>
        <v>0</v>
      </c>
      <c r="V33" s="119">
        <f>X29-[1]RZiS!W12</f>
        <v>0</v>
      </c>
    </row>
    <row r="34" spans="1:22" x14ac:dyDescent="0.2">
      <c r="A34" s="107"/>
      <c r="B34" s="107"/>
      <c r="C34" s="107"/>
      <c r="D34" s="107"/>
      <c r="E34" s="107"/>
      <c r="F34" s="107"/>
      <c r="G34" s="107"/>
      <c r="H34" s="107"/>
      <c r="I34" s="107"/>
      <c r="J34" s="107"/>
      <c r="K34" s="107"/>
      <c r="L34" s="107"/>
      <c r="M34" s="107"/>
      <c r="N34" s="107"/>
      <c r="O34" s="107"/>
      <c r="P34" s="107"/>
      <c r="Q34" s="107"/>
      <c r="R34" s="107"/>
      <c r="S34" s="107"/>
      <c r="T34" s="107"/>
      <c r="U34" s="107"/>
      <c r="V34" s="107"/>
    </row>
    <row r="35" spans="1:22"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row>
    <row r="36" spans="1:22" x14ac:dyDescent="0.2">
      <c r="A36" s="3"/>
      <c r="B36" s="3"/>
    </row>
    <row r="37" spans="1:22" x14ac:dyDescent="0.2">
      <c r="A37" s="3"/>
      <c r="B37" s="3"/>
    </row>
    <row r="38" spans="1:22" x14ac:dyDescent="0.2">
      <c r="A38" s="3"/>
      <c r="B38" s="3"/>
    </row>
    <row r="39" spans="1:22" x14ac:dyDescent="0.2">
      <c r="A39" s="3"/>
      <c r="B39" s="3"/>
    </row>
    <row r="40" spans="1:22" x14ac:dyDescent="0.2">
      <c r="A40" s="3"/>
      <c r="B40" s="3"/>
    </row>
    <row r="41" spans="1:22" x14ac:dyDescent="0.2">
      <c r="A41" s="3"/>
      <c r="B41" s="3"/>
    </row>
    <row r="42" spans="1:22" x14ac:dyDescent="0.2">
      <c r="A42" s="3"/>
      <c r="B42" s="3"/>
    </row>
    <row r="43" spans="1:22" x14ac:dyDescent="0.2">
      <c r="A43" s="3"/>
      <c r="B43" s="3"/>
    </row>
    <row r="44" spans="1:22" x14ac:dyDescent="0.2">
      <c r="A44" s="3"/>
      <c r="B44" s="3"/>
    </row>
    <row r="45" spans="1:22" x14ac:dyDescent="0.2">
      <c r="A45" s="3"/>
      <c r="B45" s="3"/>
    </row>
    <row r="46" spans="1:22" x14ac:dyDescent="0.2">
      <c r="A46" s="3"/>
      <c r="B46" s="3"/>
    </row>
    <row r="47" spans="1:22" x14ac:dyDescent="0.2">
      <c r="A47" s="3"/>
      <c r="B47" s="3"/>
    </row>
    <row r="48" spans="1:2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62" orientation="landscape" r:id="rId1"/>
  <headerFooter alignWithMargins="0">
    <oddHeader xml:space="preserve">&amp;C&amp;"Times New Roman,Kursywa"&amp;12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4"/>
  <sheetViews>
    <sheetView showGridLines="0" view="pageBreakPreview" zoomScaleNormal="100" zoomScaleSheetLayoutView="100" zoomScalePageLayoutView="80" workbookViewId="0">
      <pane xSplit="2" ySplit="4" topLeftCell="C5" activePane="bottomRight" state="frozen"/>
      <selection activeCell="B1" sqref="B1"/>
      <selection pane="topRight" activeCell="B1" sqref="B1"/>
      <selection pane="bottomLeft" activeCell="B1" sqref="B1"/>
      <selection pane="bottomRight"/>
    </sheetView>
  </sheetViews>
  <sheetFormatPr defaultColWidth="8.85546875" defaultRowHeight="12.75" outlineLevelCol="1" x14ac:dyDescent="0.2"/>
  <cols>
    <col min="1" max="1" customWidth="true" style="2" width="60.42578125" collapsed="true"/>
    <col min="2" max="2" customWidth="true" hidden="true" style="2" width="53.28515625" collapsed="true" outlineLevel="1"/>
    <col min="3" max="3" bestFit="true" customWidth="true" style="13" width="7.5703125" collapsed="true"/>
    <col min="4" max="6" bestFit="true" customWidth="true" style="13" width="7.0" collapsed="true"/>
    <col min="7" max="10" bestFit="true" customWidth="true" style="13" width="7.5703125" collapsed="true"/>
    <col min="11" max="14" bestFit="true" customWidth="true" style="13" width="7.0" collapsed="true"/>
    <col min="15" max="24" bestFit="true" customWidth="true" style="13" width="7.5703125" collapsed="true"/>
    <col min="25" max="16384" style="3" width="8.85546875" collapsed="true"/>
  </cols>
  <sheetData>
    <row r="2" spans="1:27" x14ac:dyDescent="0.2">
      <c r="A2" s="385" t="s">
        <v>284</v>
      </c>
      <c r="B2" s="385" t="s">
        <v>57</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7" s="4" customFormat="1" ht="36" customHeigh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7" s="30" customFormat="1" ht="11.25" customHeight="1" x14ac:dyDescent="0.2">
      <c r="A4" s="21" t="s">
        <v>258</v>
      </c>
      <c r="B4" s="21" t="s">
        <v>15</v>
      </c>
      <c r="C4" s="27"/>
      <c r="D4" s="28"/>
      <c r="E4" s="28"/>
      <c r="F4" s="28"/>
      <c r="G4" s="27"/>
      <c r="H4" s="28"/>
      <c r="I4" s="28"/>
      <c r="J4" s="29"/>
      <c r="K4" s="27"/>
      <c r="L4" s="28"/>
      <c r="M4" s="28"/>
      <c r="N4" s="29"/>
      <c r="O4" s="27"/>
      <c r="P4" s="28"/>
      <c r="Q4" s="28"/>
      <c r="R4" s="29"/>
      <c r="S4" s="27"/>
      <c r="T4" s="28"/>
      <c r="U4" s="28"/>
      <c r="V4" s="29"/>
      <c r="W4" s="28"/>
      <c r="X4" s="28"/>
    </row>
    <row r="5" spans="1:27" s="8" customFormat="1" x14ac:dyDescent="0.2">
      <c r="A5" s="40" t="s">
        <v>303</v>
      </c>
      <c r="B5" s="40" t="s">
        <v>16</v>
      </c>
      <c r="C5" s="27"/>
      <c r="D5" s="131"/>
      <c r="E5" s="28"/>
      <c r="F5" s="131"/>
      <c r="G5" s="27"/>
      <c r="H5" s="131"/>
      <c r="I5" s="28"/>
      <c r="J5" s="132"/>
      <c r="K5" s="27"/>
      <c r="L5" s="131"/>
      <c r="M5" s="28"/>
      <c r="N5" s="132"/>
      <c r="O5" s="27"/>
      <c r="P5" s="131"/>
      <c r="Q5" s="28"/>
      <c r="R5" s="132"/>
      <c r="S5" s="27"/>
      <c r="T5" s="131"/>
      <c r="U5" s="28"/>
      <c r="V5" s="132"/>
      <c r="W5" s="28"/>
      <c r="X5" s="28"/>
    </row>
    <row r="6" spans="1:27" s="8" customFormat="1" x14ac:dyDescent="0.2">
      <c r="A6" s="97" t="s">
        <v>285</v>
      </c>
      <c r="B6" s="97" t="s">
        <v>17</v>
      </c>
      <c r="C6" s="42">
        <v>1807.6</v>
      </c>
      <c r="D6" s="43">
        <v>2608.9</v>
      </c>
      <c r="E6" s="43">
        <v>1593</v>
      </c>
      <c r="F6" s="43">
        <v>1841.7</v>
      </c>
      <c r="G6" s="42">
        <v>1661.3</v>
      </c>
      <c r="H6" s="43">
        <v>1622.9</v>
      </c>
      <c r="I6" s="43">
        <v>2151.3000000000002</v>
      </c>
      <c r="J6" s="44">
        <v>1369.8</v>
      </c>
      <c r="K6" s="42">
        <v>1584.3</v>
      </c>
      <c r="L6" s="43">
        <v>903.3</v>
      </c>
      <c r="M6" s="43">
        <v>1686</v>
      </c>
      <c r="N6" s="44">
        <v>2656.6</v>
      </c>
      <c r="O6" s="42">
        <v>2387.8000000000002</v>
      </c>
      <c r="P6" s="43">
        <v>2158.5</v>
      </c>
      <c r="Q6" s="43">
        <v>1265.0999999999999</v>
      </c>
      <c r="R6" s="44">
        <v>2394.1999999999998</v>
      </c>
      <c r="S6" s="42">
        <v>1401.5</v>
      </c>
      <c r="T6" s="43">
        <v>1566.6</v>
      </c>
      <c r="U6" s="43">
        <v>4064.9</v>
      </c>
      <c r="V6" s="44">
        <v>1493.1</v>
      </c>
      <c r="W6" s="43">
        <v>1558.1</v>
      </c>
      <c r="X6" s="43">
        <v>2321.1999999999998</v>
      </c>
      <c r="AA6" s="96"/>
    </row>
    <row r="7" spans="1:27" s="8" customFormat="1" x14ac:dyDescent="0.2">
      <c r="A7" s="97" t="s">
        <v>286</v>
      </c>
      <c r="B7" s="97" t="s">
        <v>18</v>
      </c>
      <c r="C7" s="42">
        <v>16614.2</v>
      </c>
      <c r="D7" s="43">
        <v>18078.900000000001</v>
      </c>
      <c r="E7" s="43">
        <v>17532.8</v>
      </c>
      <c r="F7" s="43">
        <v>15183.7</v>
      </c>
      <c r="G7" s="42">
        <v>14080.6</v>
      </c>
      <c r="H7" s="43">
        <v>9002</v>
      </c>
      <c r="I7" s="43">
        <v>7244.5</v>
      </c>
      <c r="J7" s="44">
        <v>7787.2</v>
      </c>
      <c r="K7" s="42">
        <v>2947.5</v>
      </c>
      <c r="L7" s="43">
        <v>3233.7</v>
      </c>
      <c r="M7" s="43">
        <v>3639.9</v>
      </c>
      <c r="N7" s="44">
        <v>1184.0999999999999</v>
      </c>
      <c r="O7" s="42">
        <v>1280.7</v>
      </c>
      <c r="P7" s="43">
        <v>1940.1</v>
      </c>
      <c r="Q7" s="43">
        <v>1859.2</v>
      </c>
      <c r="R7" s="44">
        <v>1181.0999999999999</v>
      </c>
      <c r="S7" s="42">
        <v>2386.8000000000002</v>
      </c>
      <c r="T7" s="43">
        <v>1758.3</v>
      </c>
      <c r="U7" s="43">
        <v>2706.4</v>
      </c>
      <c r="V7" s="44">
        <v>1018.1</v>
      </c>
      <c r="W7" s="43">
        <v>1478.4</v>
      </c>
      <c r="X7" s="43">
        <v>1605.3000000000002</v>
      </c>
      <c r="AA7" s="96"/>
    </row>
    <row r="8" spans="1:27" s="8" customFormat="1" ht="16.899999999999999" customHeight="1" x14ac:dyDescent="0.2">
      <c r="A8" s="97" t="s">
        <v>287</v>
      </c>
      <c r="B8" s="97" t="s">
        <v>19</v>
      </c>
      <c r="C8" s="42">
        <v>10221.1</v>
      </c>
      <c r="D8" s="43">
        <v>6148.3</v>
      </c>
      <c r="E8" s="43">
        <v>7099.7</v>
      </c>
      <c r="F8" s="43">
        <v>6256.5</v>
      </c>
      <c r="G8" s="42">
        <v>9177.2000000000007</v>
      </c>
      <c r="H8" s="43">
        <v>8974.2000000000007</v>
      </c>
      <c r="I8" s="43">
        <v>11196.3</v>
      </c>
      <c r="J8" s="44">
        <v>10548.8</v>
      </c>
      <c r="K8" s="42">
        <v>11977.4</v>
      </c>
      <c r="L8" s="43">
        <v>10822.1</v>
      </c>
      <c r="M8" s="43">
        <v>12177.7</v>
      </c>
      <c r="N8" s="44">
        <v>8267.7000000000007</v>
      </c>
      <c r="O8" s="42">
        <v>3758.4</v>
      </c>
      <c r="P8" s="43">
        <v>1451.5</v>
      </c>
      <c r="Q8" s="43">
        <v>3945.7</v>
      </c>
      <c r="R8" s="44">
        <v>659.6</v>
      </c>
      <c r="S8" s="42">
        <v>576.9</v>
      </c>
      <c r="T8" s="43">
        <v>572.5</v>
      </c>
      <c r="U8" s="43">
        <v>1120.5</v>
      </c>
      <c r="V8" s="44">
        <v>639.6</v>
      </c>
      <c r="W8" s="43">
        <v>1425.7</v>
      </c>
      <c r="X8" s="43">
        <v>791.5</v>
      </c>
      <c r="AA8" s="96"/>
    </row>
    <row r="9" spans="1:27" s="8" customFormat="1" x14ac:dyDescent="0.2">
      <c r="A9" s="97" t="s">
        <v>288</v>
      </c>
      <c r="B9" s="97" t="s">
        <v>20</v>
      </c>
      <c r="C9" s="42">
        <v>893.8</v>
      </c>
      <c r="D9" s="43">
        <v>849.7</v>
      </c>
      <c r="E9" s="43">
        <v>1144.1999999999998</v>
      </c>
      <c r="F9" s="43">
        <v>1651</v>
      </c>
      <c r="G9" s="42">
        <v>2061.5</v>
      </c>
      <c r="H9" s="43">
        <v>2185.9</v>
      </c>
      <c r="I9" s="43">
        <v>1621.6</v>
      </c>
      <c r="J9" s="44">
        <v>4579.8</v>
      </c>
      <c r="K9" s="42">
        <v>5167.3999999999996</v>
      </c>
      <c r="L9" s="43">
        <v>3242</v>
      </c>
      <c r="M9" s="43">
        <v>1953.3</v>
      </c>
      <c r="N9" s="44">
        <v>1566.7</v>
      </c>
      <c r="O9" s="42">
        <v>1408.3</v>
      </c>
      <c r="P9" s="43">
        <v>1755.7</v>
      </c>
      <c r="Q9" s="43">
        <v>1527.9</v>
      </c>
      <c r="R9" s="44">
        <v>1158.9000000000001</v>
      </c>
      <c r="S9" s="42">
        <v>879.1</v>
      </c>
      <c r="T9" s="43">
        <v>912.6</v>
      </c>
      <c r="U9" s="43">
        <v>1782</v>
      </c>
      <c r="V9" s="44">
        <v>1858.4</v>
      </c>
      <c r="W9" s="43">
        <v>1293.9000000000001</v>
      </c>
      <c r="X9" s="43">
        <v>1235.1000000000001</v>
      </c>
      <c r="AA9" s="96"/>
    </row>
    <row r="10" spans="1:27" s="8" customFormat="1" x14ac:dyDescent="0.2">
      <c r="A10" s="97" t="s">
        <v>289</v>
      </c>
      <c r="B10" s="97" t="s">
        <v>21</v>
      </c>
      <c r="C10" s="42">
        <f>SUM(C11:C12)</f>
        <v>12001.7</v>
      </c>
      <c r="D10" s="43">
        <f t="shared" ref="D10:X10" si="0">SUM(D11:D12)</f>
        <v>9593.7999999999993</v>
      </c>
      <c r="E10" s="43">
        <f t="shared" si="0"/>
        <v>9149.9000000000015</v>
      </c>
      <c r="F10" s="43">
        <f t="shared" si="0"/>
        <v>9388.2999999999993</v>
      </c>
      <c r="G10" s="42">
        <f t="shared" si="0"/>
        <v>13933.400000000001</v>
      </c>
      <c r="H10" s="43">
        <f t="shared" si="0"/>
        <v>17001.2</v>
      </c>
      <c r="I10" s="43">
        <f t="shared" si="0"/>
        <v>19710.7</v>
      </c>
      <c r="J10" s="44">
        <f t="shared" si="0"/>
        <v>18050.900000000001</v>
      </c>
      <c r="K10" s="42">
        <f t="shared" si="0"/>
        <v>15901.9</v>
      </c>
      <c r="L10" s="43">
        <f t="shared" si="0"/>
        <v>15568.2</v>
      </c>
      <c r="M10" s="43">
        <f t="shared" si="0"/>
        <v>14334.5</v>
      </c>
      <c r="N10" s="44">
        <f t="shared" si="0"/>
        <v>14166.3</v>
      </c>
      <c r="O10" s="42">
        <f t="shared" si="0"/>
        <v>21639.699999999997</v>
      </c>
      <c r="P10" s="43">
        <f t="shared" si="0"/>
        <v>21008.7</v>
      </c>
      <c r="Q10" s="43">
        <f t="shared" si="0"/>
        <v>18736.400000000001</v>
      </c>
      <c r="R10" s="44">
        <f t="shared" si="0"/>
        <v>23006.799999999999</v>
      </c>
      <c r="S10" s="42">
        <f t="shared" si="0"/>
        <v>23574.1</v>
      </c>
      <c r="T10" s="43">
        <f t="shared" si="0"/>
        <v>23947.5</v>
      </c>
      <c r="U10" s="43">
        <f t="shared" si="0"/>
        <v>22396.3</v>
      </c>
      <c r="V10" s="44">
        <f t="shared" si="0"/>
        <v>20450.7</v>
      </c>
      <c r="W10" s="43">
        <f t="shared" si="0"/>
        <v>16819.8</v>
      </c>
      <c r="X10" s="43">
        <f t="shared" si="0"/>
        <v>13817.5</v>
      </c>
      <c r="AA10" s="96"/>
    </row>
    <row r="11" spans="1:27" s="73" customFormat="1" x14ac:dyDescent="0.2">
      <c r="A11" s="126" t="s">
        <v>290</v>
      </c>
      <c r="B11" s="126" t="s">
        <v>22</v>
      </c>
      <c r="C11" s="60">
        <v>12001.7</v>
      </c>
      <c r="D11" s="61">
        <v>9593.7999999999993</v>
      </c>
      <c r="E11" s="61">
        <v>8529.2000000000007</v>
      </c>
      <c r="F11" s="61">
        <v>8547.5</v>
      </c>
      <c r="G11" s="60">
        <v>10159.700000000001</v>
      </c>
      <c r="H11" s="61">
        <v>10816.2</v>
      </c>
      <c r="I11" s="61">
        <v>12385.2</v>
      </c>
      <c r="J11" s="62">
        <v>10739.1</v>
      </c>
      <c r="K11" s="60">
        <v>8517.5</v>
      </c>
      <c r="L11" s="61">
        <v>8329.5</v>
      </c>
      <c r="M11" s="61">
        <v>6990.8</v>
      </c>
      <c r="N11" s="62">
        <v>6835.9</v>
      </c>
      <c r="O11" s="60">
        <v>14852.8</v>
      </c>
      <c r="P11" s="61">
        <v>14323.7</v>
      </c>
      <c r="Q11" s="61">
        <v>12239.9</v>
      </c>
      <c r="R11" s="62">
        <v>16788.8</v>
      </c>
      <c r="S11" s="60">
        <v>17266.8</v>
      </c>
      <c r="T11" s="61">
        <v>18998.099999999999</v>
      </c>
      <c r="U11" s="61">
        <v>17379.599999999999</v>
      </c>
      <c r="V11" s="62">
        <v>15468.4</v>
      </c>
      <c r="W11" s="61">
        <v>11765.1</v>
      </c>
      <c r="X11" s="61">
        <v>10299</v>
      </c>
      <c r="AA11" s="96"/>
    </row>
    <row r="12" spans="1:27" s="73" customFormat="1" x14ac:dyDescent="0.2">
      <c r="A12" s="127" t="s">
        <v>291</v>
      </c>
      <c r="B12" s="127" t="s">
        <v>23</v>
      </c>
      <c r="C12" s="60">
        <v>0</v>
      </c>
      <c r="D12" s="61">
        <v>0</v>
      </c>
      <c r="E12" s="61">
        <v>620.70000000000005</v>
      </c>
      <c r="F12" s="61">
        <v>840.8</v>
      </c>
      <c r="G12" s="60">
        <v>3773.7</v>
      </c>
      <c r="H12" s="61">
        <v>6185</v>
      </c>
      <c r="I12" s="61">
        <v>7325.5</v>
      </c>
      <c r="J12" s="62">
        <v>7311.8</v>
      </c>
      <c r="K12" s="60">
        <v>7384.4</v>
      </c>
      <c r="L12" s="61">
        <v>7238.7</v>
      </c>
      <c r="M12" s="61">
        <v>7343.7</v>
      </c>
      <c r="N12" s="62">
        <v>7330.4</v>
      </c>
      <c r="O12" s="60">
        <v>6786.9</v>
      </c>
      <c r="P12" s="61">
        <v>6685</v>
      </c>
      <c r="Q12" s="61">
        <v>6496.5</v>
      </c>
      <c r="R12" s="62">
        <v>6218</v>
      </c>
      <c r="S12" s="60">
        <v>6307.3</v>
      </c>
      <c r="T12" s="61">
        <v>4949.3999999999996</v>
      </c>
      <c r="U12" s="61">
        <v>5016.7</v>
      </c>
      <c r="V12" s="62">
        <v>4982.3</v>
      </c>
      <c r="W12" s="61">
        <v>5054.7</v>
      </c>
      <c r="X12" s="61">
        <v>3518.5</v>
      </c>
      <c r="AA12" s="96"/>
    </row>
    <row r="13" spans="1:27" s="10" customFormat="1" x14ac:dyDescent="0.2">
      <c r="A13" s="99" t="s">
        <v>292</v>
      </c>
      <c r="B13" s="99" t="s">
        <v>24</v>
      </c>
      <c r="C13" s="42">
        <v>2</v>
      </c>
      <c r="D13" s="43">
        <v>3.8</v>
      </c>
      <c r="E13" s="43">
        <v>4</v>
      </c>
      <c r="F13" s="43">
        <v>4.5999999999999996</v>
      </c>
      <c r="G13" s="42">
        <v>3.6</v>
      </c>
      <c r="H13" s="43">
        <v>76</v>
      </c>
      <c r="I13" s="43">
        <v>70.400000000000006</v>
      </c>
      <c r="J13" s="44">
        <v>197</v>
      </c>
      <c r="K13" s="42">
        <v>212.4</v>
      </c>
      <c r="L13" s="43">
        <v>91</v>
      </c>
      <c r="M13" s="43">
        <v>64.599999999999994</v>
      </c>
      <c r="N13" s="44">
        <v>90.4</v>
      </c>
      <c r="O13" s="42">
        <v>111.7</v>
      </c>
      <c r="P13" s="43">
        <v>88.1</v>
      </c>
      <c r="Q13" s="43">
        <v>86.1</v>
      </c>
      <c r="R13" s="44">
        <v>104.8</v>
      </c>
      <c r="S13" s="42">
        <v>112.3</v>
      </c>
      <c r="T13" s="43">
        <v>168</v>
      </c>
      <c r="U13" s="43">
        <v>337.1</v>
      </c>
      <c r="V13" s="44">
        <v>433.4</v>
      </c>
      <c r="W13" s="43">
        <v>349.2</v>
      </c>
      <c r="X13" s="43">
        <v>420</v>
      </c>
      <c r="AA13" s="96"/>
    </row>
    <row r="14" spans="1:27" s="8" customFormat="1" x14ac:dyDescent="0.2">
      <c r="A14" s="97" t="s">
        <v>293</v>
      </c>
      <c r="B14" s="97" t="s">
        <v>25</v>
      </c>
      <c r="C14" s="42">
        <v>13782.6</v>
      </c>
      <c r="D14" s="43">
        <v>14567.2</v>
      </c>
      <c r="E14" s="43">
        <v>15449.4</v>
      </c>
      <c r="F14" s="43">
        <v>16379.1</v>
      </c>
      <c r="G14" s="42">
        <v>18039.900000000001</v>
      </c>
      <c r="H14" s="43">
        <v>20372</v>
      </c>
      <c r="I14" s="43">
        <v>21986.799999999999</v>
      </c>
      <c r="J14" s="44">
        <v>25742.799999999999</v>
      </c>
      <c r="K14" s="42">
        <v>29040.3</v>
      </c>
      <c r="L14" s="43">
        <v>29268.6</v>
      </c>
      <c r="M14" s="43">
        <v>29050</v>
      </c>
      <c r="N14" s="44">
        <v>30592.799999999999</v>
      </c>
      <c r="O14" s="42">
        <v>30159.599999999999</v>
      </c>
      <c r="P14" s="43">
        <v>31781.200000000001</v>
      </c>
      <c r="Q14" s="43">
        <v>33320.6</v>
      </c>
      <c r="R14" s="44">
        <v>34509</v>
      </c>
      <c r="S14" s="42">
        <v>35332.400000000001</v>
      </c>
      <c r="T14" s="43">
        <v>37094.800000000003</v>
      </c>
      <c r="U14" s="43">
        <v>39789.699999999997</v>
      </c>
      <c r="V14" s="44">
        <v>42329.7</v>
      </c>
      <c r="W14" s="43">
        <v>47795.899999999994</v>
      </c>
      <c r="X14" s="43">
        <v>48490.6</v>
      </c>
      <c r="AA14" s="96"/>
    </row>
    <row r="15" spans="1:27" s="10" customFormat="1" x14ac:dyDescent="0.2">
      <c r="A15" s="97" t="s">
        <v>294</v>
      </c>
      <c r="B15" s="97" t="s">
        <v>26</v>
      </c>
      <c r="C15" s="42">
        <v>102.7</v>
      </c>
      <c r="D15" s="43">
        <v>77</v>
      </c>
      <c r="E15" s="43">
        <v>86.6</v>
      </c>
      <c r="F15" s="43">
        <v>97.3</v>
      </c>
      <c r="G15" s="42">
        <v>108.9</v>
      </c>
      <c r="H15" s="43">
        <v>84.9</v>
      </c>
      <c r="I15" s="43">
        <v>97.9</v>
      </c>
      <c r="J15" s="44">
        <v>107.3</v>
      </c>
      <c r="K15" s="42">
        <v>117.4</v>
      </c>
      <c r="L15" s="43">
        <v>89.1</v>
      </c>
      <c r="M15" s="43">
        <v>99.5</v>
      </c>
      <c r="N15" s="44">
        <v>115.6</v>
      </c>
      <c r="O15" s="42">
        <v>122.9</v>
      </c>
      <c r="P15" s="43">
        <v>133.80000000000001</v>
      </c>
      <c r="Q15" s="43">
        <v>144.4</v>
      </c>
      <c r="R15" s="44">
        <v>156.80000000000001</v>
      </c>
      <c r="S15" s="42">
        <v>166.6</v>
      </c>
      <c r="T15" s="43">
        <v>86.6</v>
      </c>
      <c r="U15" s="43">
        <v>94.8</v>
      </c>
      <c r="V15" s="44">
        <v>105</v>
      </c>
      <c r="W15" s="43">
        <v>111.79999999999995</v>
      </c>
      <c r="X15" s="43">
        <v>96.799999999999955</v>
      </c>
      <c r="AA15" s="96"/>
    </row>
    <row r="16" spans="1:27" s="10" customFormat="1" x14ac:dyDescent="0.2">
      <c r="A16" s="97" t="s">
        <v>295</v>
      </c>
      <c r="B16" s="97" t="s">
        <v>27</v>
      </c>
      <c r="C16" s="42">
        <v>150.1</v>
      </c>
      <c r="D16" s="43">
        <v>149.1</v>
      </c>
      <c r="E16" s="43">
        <v>151.1</v>
      </c>
      <c r="F16" s="43">
        <v>144.69999999999999</v>
      </c>
      <c r="G16" s="42">
        <v>145.80000000000001</v>
      </c>
      <c r="H16" s="43">
        <v>135.80000000000001</v>
      </c>
      <c r="I16" s="43">
        <v>135.80000000000001</v>
      </c>
      <c r="J16" s="44">
        <v>151.5</v>
      </c>
      <c r="K16" s="42">
        <v>151.5</v>
      </c>
      <c r="L16" s="43">
        <v>151.5</v>
      </c>
      <c r="M16" s="43">
        <v>151.5</v>
      </c>
      <c r="N16" s="44">
        <v>129.69999999999999</v>
      </c>
      <c r="O16" s="42">
        <v>129.69999999999999</v>
      </c>
      <c r="P16" s="43">
        <v>129.69999999999999</v>
      </c>
      <c r="Q16" s="43">
        <v>140.4</v>
      </c>
      <c r="R16" s="44">
        <v>118.2</v>
      </c>
      <c r="S16" s="42">
        <v>118.2</v>
      </c>
      <c r="T16" s="43">
        <v>118.2</v>
      </c>
      <c r="U16" s="43">
        <v>118.2</v>
      </c>
      <c r="V16" s="44">
        <v>118.7</v>
      </c>
      <c r="W16" s="43">
        <v>118.7</v>
      </c>
      <c r="X16" s="43">
        <v>118.7</v>
      </c>
      <c r="AA16" s="96"/>
    </row>
    <row r="17" spans="1:27" s="10" customFormat="1" x14ac:dyDescent="0.2">
      <c r="A17" s="97" t="s">
        <v>296</v>
      </c>
      <c r="B17" s="97" t="s">
        <v>28</v>
      </c>
      <c r="C17" s="42">
        <v>565</v>
      </c>
      <c r="D17" s="43">
        <v>552.5</v>
      </c>
      <c r="E17" s="43">
        <v>543.1</v>
      </c>
      <c r="F17" s="43">
        <v>532.9</v>
      </c>
      <c r="G17" s="42">
        <v>536.4</v>
      </c>
      <c r="H17" s="43">
        <v>529.1</v>
      </c>
      <c r="I17" s="43">
        <v>527.6</v>
      </c>
      <c r="J17" s="44">
        <v>544.20000000000005</v>
      </c>
      <c r="K17" s="42">
        <v>548.6</v>
      </c>
      <c r="L17" s="43">
        <v>553.20000000000005</v>
      </c>
      <c r="M17" s="43">
        <v>541.29999999999995</v>
      </c>
      <c r="N17" s="44">
        <v>548.79999999999995</v>
      </c>
      <c r="O17" s="42">
        <v>539</v>
      </c>
      <c r="P17" s="43">
        <v>536.29999999999995</v>
      </c>
      <c r="Q17" s="43">
        <v>520.5</v>
      </c>
      <c r="R17" s="44">
        <v>544.20000000000005</v>
      </c>
      <c r="S17" s="42">
        <v>531.29999999999995</v>
      </c>
      <c r="T17" s="43">
        <v>511.2</v>
      </c>
      <c r="U17" s="43">
        <v>516.6</v>
      </c>
      <c r="V17" s="44">
        <v>575.29999999999995</v>
      </c>
      <c r="W17" s="43">
        <v>573.70000000000016</v>
      </c>
      <c r="X17" s="43">
        <v>579.50000000000011</v>
      </c>
      <c r="AA17" s="96"/>
    </row>
    <row r="18" spans="1:27" s="10" customFormat="1" x14ac:dyDescent="0.2">
      <c r="A18" s="97" t="s">
        <v>297</v>
      </c>
      <c r="B18" s="97" t="s">
        <v>29</v>
      </c>
      <c r="C18" s="42">
        <v>325.7</v>
      </c>
      <c r="D18" s="43">
        <v>319.3</v>
      </c>
      <c r="E18" s="43">
        <v>319</v>
      </c>
      <c r="F18" s="43">
        <v>318.8</v>
      </c>
      <c r="G18" s="42">
        <v>315.8</v>
      </c>
      <c r="H18" s="43">
        <v>311</v>
      </c>
      <c r="I18" s="43">
        <v>309.5</v>
      </c>
      <c r="J18" s="44">
        <v>316.2</v>
      </c>
      <c r="K18" s="42">
        <v>313.5</v>
      </c>
      <c r="L18" s="43">
        <v>317.8</v>
      </c>
      <c r="M18" s="43">
        <v>316.39999999999998</v>
      </c>
      <c r="N18" s="44">
        <v>327.3</v>
      </c>
      <c r="O18" s="42">
        <v>322.89999999999998</v>
      </c>
      <c r="P18" s="43">
        <v>325.89999999999998</v>
      </c>
      <c r="Q18" s="43">
        <v>325.8</v>
      </c>
      <c r="R18" s="44">
        <v>342.2</v>
      </c>
      <c r="S18" s="42">
        <v>342</v>
      </c>
      <c r="T18" s="43">
        <v>357.8</v>
      </c>
      <c r="U18" s="43">
        <v>355.6</v>
      </c>
      <c r="V18" s="44">
        <v>362</v>
      </c>
      <c r="W18" s="43">
        <v>360.4</v>
      </c>
      <c r="X18" s="43">
        <v>358.8</v>
      </c>
      <c r="AA18" s="96"/>
    </row>
    <row r="19" spans="1:27" s="10" customFormat="1" x14ac:dyDescent="0.2">
      <c r="A19" s="97" t="s">
        <v>298</v>
      </c>
      <c r="B19" s="97" t="s">
        <v>30</v>
      </c>
      <c r="C19" s="42">
        <v>0.2</v>
      </c>
      <c r="D19" s="43">
        <v>0.3</v>
      </c>
      <c r="E19" s="43">
        <v>0.2</v>
      </c>
      <c r="F19" s="43">
        <v>0.2</v>
      </c>
      <c r="G19" s="42">
        <v>0.3</v>
      </c>
      <c r="H19" s="43">
        <v>0.3</v>
      </c>
      <c r="I19" s="43">
        <v>0.2</v>
      </c>
      <c r="J19" s="44">
        <v>0.2</v>
      </c>
      <c r="K19" s="42">
        <v>0.2</v>
      </c>
      <c r="L19" s="43">
        <v>0.1</v>
      </c>
      <c r="M19" s="43">
        <v>0.2</v>
      </c>
      <c r="N19" s="44">
        <v>0.2</v>
      </c>
      <c r="O19" s="42">
        <v>0.2</v>
      </c>
      <c r="P19" s="43">
        <v>0.2</v>
      </c>
      <c r="Q19" s="43">
        <v>1.9</v>
      </c>
      <c r="R19" s="44">
        <v>14</v>
      </c>
      <c r="S19" s="42">
        <v>12.3</v>
      </c>
      <c r="T19" s="43">
        <v>40.9</v>
      </c>
      <c r="U19" s="43">
        <v>44.4</v>
      </c>
      <c r="V19" s="44">
        <v>33.6</v>
      </c>
      <c r="W19" s="43">
        <v>38.9</v>
      </c>
      <c r="X19" s="43">
        <v>37.299999999999997</v>
      </c>
      <c r="AA19" s="96"/>
    </row>
    <row r="20" spans="1:27" s="10" customFormat="1" x14ac:dyDescent="0.2">
      <c r="A20" s="97" t="s">
        <v>299</v>
      </c>
      <c r="B20" s="97" t="s">
        <v>31</v>
      </c>
      <c r="C20" s="42">
        <v>0</v>
      </c>
      <c r="D20" s="43">
        <v>0</v>
      </c>
      <c r="E20" s="43">
        <v>0</v>
      </c>
      <c r="F20" s="43">
        <v>25.3</v>
      </c>
      <c r="G20" s="42">
        <v>9.6999999999999993</v>
      </c>
      <c r="H20" s="43">
        <v>0</v>
      </c>
      <c r="I20" s="43">
        <v>0</v>
      </c>
      <c r="J20" s="44">
        <v>0.1</v>
      </c>
      <c r="K20" s="42">
        <v>18.7</v>
      </c>
      <c r="L20" s="43">
        <v>82.9</v>
      </c>
      <c r="M20" s="43">
        <v>0</v>
      </c>
      <c r="N20" s="44">
        <v>0.8</v>
      </c>
      <c r="O20" s="42">
        <v>0.4</v>
      </c>
      <c r="P20" s="43">
        <v>0.3</v>
      </c>
      <c r="Q20" s="43">
        <v>0</v>
      </c>
      <c r="R20" s="44">
        <v>0.6</v>
      </c>
      <c r="S20" s="42">
        <v>37.9</v>
      </c>
      <c r="T20" s="43">
        <v>55.2</v>
      </c>
      <c r="U20" s="43">
        <v>56.2</v>
      </c>
      <c r="V20" s="44">
        <v>147.5</v>
      </c>
      <c r="W20" s="43">
        <v>91.3</v>
      </c>
      <c r="X20" s="43">
        <v>0.2</v>
      </c>
      <c r="AA20" s="96"/>
    </row>
    <row r="21" spans="1:27" s="10" customFormat="1" x14ac:dyDescent="0.2">
      <c r="A21" s="97" t="s">
        <v>300</v>
      </c>
      <c r="B21" s="97" t="s">
        <v>32</v>
      </c>
      <c r="C21" s="42">
        <v>22.1</v>
      </c>
      <c r="D21" s="43">
        <v>99.5</v>
      </c>
      <c r="E21" s="43">
        <v>40.700000000000003</v>
      </c>
      <c r="F21" s="43">
        <v>49.3</v>
      </c>
      <c r="G21" s="42">
        <v>37.799999999999997</v>
      </c>
      <c r="H21" s="43">
        <v>88</v>
      </c>
      <c r="I21" s="43">
        <v>19.100000000000001</v>
      </c>
      <c r="J21" s="44">
        <v>48.7</v>
      </c>
      <c r="K21" s="42">
        <v>36.799999999999997</v>
      </c>
      <c r="L21" s="43">
        <v>0</v>
      </c>
      <c r="M21" s="43">
        <v>34.299999999999997</v>
      </c>
      <c r="N21" s="44">
        <v>86.4</v>
      </c>
      <c r="O21" s="42">
        <v>62.4</v>
      </c>
      <c r="P21" s="43">
        <v>97.4</v>
      </c>
      <c r="Q21" s="43">
        <v>77.400000000000006</v>
      </c>
      <c r="R21" s="44">
        <v>167.4</v>
      </c>
      <c r="S21" s="42">
        <v>143.9</v>
      </c>
      <c r="T21" s="43">
        <v>100.6</v>
      </c>
      <c r="U21" s="43">
        <v>97.4</v>
      </c>
      <c r="V21" s="44">
        <v>16.5</v>
      </c>
      <c r="W21" s="43">
        <v>69.7</v>
      </c>
      <c r="X21" s="43">
        <v>139.20000000000002</v>
      </c>
      <c r="AA21" s="96"/>
    </row>
    <row r="22" spans="1:27" s="10" customFormat="1" x14ac:dyDescent="0.2">
      <c r="A22" s="97" t="s">
        <v>301</v>
      </c>
      <c r="B22" s="97" t="s">
        <v>33</v>
      </c>
      <c r="C22" s="42">
        <v>128.1</v>
      </c>
      <c r="D22" s="43">
        <v>154.80000000000001</v>
      </c>
      <c r="E22" s="43">
        <v>132.9</v>
      </c>
      <c r="F22" s="43">
        <v>137.4</v>
      </c>
      <c r="G22" s="42">
        <v>122.2</v>
      </c>
      <c r="H22" s="43">
        <v>129.9</v>
      </c>
      <c r="I22" s="43">
        <v>190.9</v>
      </c>
      <c r="J22" s="44">
        <v>166</v>
      </c>
      <c r="K22" s="42">
        <v>187.9</v>
      </c>
      <c r="L22" s="43">
        <v>193</v>
      </c>
      <c r="M22" s="43">
        <v>207.2</v>
      </c>
      <c r="N22" s="44">
        <v>150</v>
      </c>
      <c r="O22" s="42">
        <v>175.4</v>
      </c>
      <c r="P22" s="43">
        <v>175.6</v>
      </c>
      <c r="Q22" s="43">
        <v>214.1</v>
      </c>
      <c r="R22" s="44">
        <v>159.69999999999999</v>
      </c>
      <c r="S22" s="42">
        <v>224.5</v>
      </c>
      <c r="T22" s="43">
        <v>210.1</v>
      </c>
      <c r="U22" s="43">
        <v>216</v>
      </c>
      <c r="V22" s="44">
        <v>141.80000000000001</v>
      </c>
      <c r="W22" s="43">
        <v>177.60000000000002</v>
      </c>
      <c r="X22" s="43">
        <v>248.39999999999998</v>
      </c>
      <c r="AA22" s="96"/>
    </row>
    <row r="23" spans="1:27" s="14" customFormat="1" x14ac:dyDescent="0.2">
      <c r="A23" s="109" t="s">
        <v>302</v>
      </c>
      <c r="B23" s="109" t="s">
        <v>34</v>
      </c>
      <c r="C23" s="103">
        <f>SUM(C6:C10,C13:C22)</f>
        <v>56616.899999999987</v>
      </c>
      <c r="D23" s="104">
        <f t="shared" ref="D23:X23" si="1">SUM(D6:D10,D13:D22)</f>
        <v>53203.100000000013</v>
      </c>
      <c r="E23" s="104">
        <f t="shared" si="1"/>
        <v>53246.6</v>
      </c>
      <c r="F23" s="104">
        <f t="shared" si="1"/>
        <v>52010.8</v>
      </c>
      <c r="G23" s="103">
        <f t="shared" si="1"/>
        <v>60234.400000000009</v>
      </c>
      <c r="H23" s="104">
        <f t="shared" si="1"/>
        <v>60513.200000000004</v>
      </c>
      <c r="I23" s="104">
        <f t="shared" si="1"/>
        <v>65262.599999999991</v>
      </c>
      <c r="J23" s="104">
        <f t="shared" si="1"/>
        <v>69610.5</v>
      </c>
      <c r="K23" s="103">
        <f t="shared" si="1"/>
        <v>68205.799999999988</v>
      </c>
      <c r="L23" s="104">
        <f t="shared" si="1"/>
        <v>64516.5</v>
      </c>
      <c r="M23" s="104">
        <f t="shared" si="1"/>
        <v>64256.399999999994</v>
      </c>
      <c r="N23" s="104">
        <f t="shared" si="1"/>
        <v>59883.400000000009</v>
      </c>
      <c r="O23" s="103">
        <f t="shared" si="1"/>
        <v>62099.1</v>
      </c>
      <c r="P23" s="104">
        <f t="shared" si="1"/>
        <v>61583.000000000007</v>
      </c>
      <c r="Q23" s="104">
        <f t="shared" si="1"/>
        <v>62165.500000000007</v>
      </c>
      <c r="R23" s="104">
        <f t="shared" si="1"/>
        <v>64517.499999999985</v>
      </c>
      <c r="S23" s="103">
        <f t="shared" si="1"/>
        <v>65839.8</v>
      </c>
      <c r="T23" s="104">
        <f t="shared" si="1"/>
        <v>67500.900000000009</v>
      </c>
      <c r="U23" s="104">
        <f t="shared" si="1"/>
        <v>73696.099999999991</v>
      </c>
      <c r="V23" s="104">
        <f t="shared" si="1"/>
        <v>69723.400000000009</v>
      </c>
      <c r="W23" s="103">
        <f t="shared" si="1"/>
        <v>72263.099999999991</v>
      </c>
      <c r="X23" s="104">
        <f t="shared" si="1"/>
        <v>70260.099999999991</v>
      </c>
    </row>
    <row r="24" spans="1:27" ht="7.15" customHeight="1" x14ac:dyDescent="0.2">
      <c r="A24" s="97"/>
      <c r="B24" s="97"/>
      <c r="C24" s="42"/>
      <c r="D24" s="43"/>
      <c r="E24" s="43"/>
      <c r="F24" s="43"/>
      <c r="G24" s="42"/>
      <c r="H24" s="43"/>
      <c r="I24" s="43"/>
      <c r="J24" s="44"/>
      <c r="K24" s="42"/>
      <c r="L24" s="43"/>
      <c r="M24" s="43"/>
      <c r="N24" s="44"/>
      <c r="O24" s="42"/>
      <c r="P24" s="43"/>
      <c r="Q24" s="43"/>
      <c r="R24" s="44"/>
      <c r="S24" s="42"/>
      <c r="T24" s="43"/>
      <c r="U24" s="43"/>
      <c r="V24" s="44"/>
      <c r="W24" s="43"/>
      <c r="X24" s="43"/>
    </row>
    <row r="25" spans="1:27" x14ac:dyDescent="0.2">
      <c r="A25" s="133" t="s">
        <v>304</v>
      </c>
      <c r="B25" s="133" t="s">
        <v>35</v>
      </c>
      <c r="C25" s="42"/>
      <c r="D25" s="43"/>
      <c r="E25" s="43"/>
      <c r="F25" s="43"/>
      <c r="G25" s="42"/>
      <c r="H25" s="43"/>
      <c r="I25" s="43"/>
      <c r="J25" s="44"/>
      <c r="K25" s="42"/>
      <c r="L25" s="43"/>
      <c r="M25" s="43"/>
      <c r="N25" s="44"/>
      <c r="O25" s="42"/>
      <c r="P25" s="43"/>
      <c r="Q25" s="43"/>
      <c r="R25" s="44"/>
      <c r="S25" s="42"/>
      <c r="T25" s="43"/>
      <c r="U25" s="43"/>
      <c r="V25" s="44"/>
      <c r="W25" s="43"/>
      <c r="X25" s="43"/>
    </row>
    <row r="26" spans="1:27" x14ac:dyDescent="0.2">
      <c r="A26" s="133" t="s">
        <v>305</v>
      </c>
      <c r="B26" s="133" t="s">
        <v>36</v>
      </c>
      <c r="C26" s="42"/>
      <c r="D26" s="43"/>
      <c r="E26" s="43"/>
      <c r="F26" s="43"/>
      <c r="G26" s="42"/>
      <c r="H26" s="43"/>
      <c r="I26" s="43"/>
      <c r="J26" s="44"/>
      <c r="K26" s="42"/>
      <c r="L26" s="43"/>
      <c r="M26" s="43"/>
      <c r="N26" s="44"/>
      <c r="O26" s="42"/>
      <c r="P26" s="43"/>
      <c r="Q26" s="43"/>
      <c r="R26" s="44"/>
      <c r="S26" s="42"/>
      <c r="T26" s="43"/>
      <c r="U26" s="43"/>
      <c r="V26" s="44"/>
      <c r="W26" s="43"/>
      <c r="X26" s="43"/>
    </row>
    <row r="27" spans="1:27" x14ac:dyDescent="0.2">
      <c r="A27" s="134" t="s">
        <v>661</v>
      </c>
      <c r="B27" s="134" t="s">
        <v>589</v>
      </c>
      <c r="C27" s="42">
        <v>0</v>
      </c>
      <c r="D27" s="43">
        <v>0</v>
      </c>
      <c r="E27" s="43">
        <v>0</v>
      </c>
      <c r="F27" s="43">
        <v>0</v>
      </c>
      <c r="G27" s="42">
        <v>0</v>
      </c>
      <c r="H27" s="43">
        <v>0</v>
      </c>
      <c r="I27" s="43">
        <v>0</v>
      </c>
      <c r="J27" s="44">
        <v>5932.1</v>
      </c>
      <c r="K27" s="42">
        <v>4020.1</v>
      </c>
      <c r="L27" s="43">
        <v>0</v>
      </c>
      <c r="M27" s="43">
        <v>0</v>
      </c>
      <c r="N27" s="44">
        <v>0</v>
      </c>
      <c r="O27" s="42">
        <v>0</v>
      </c>
      <c r="P27" s="43">
        <v>0</v>
      </c>
      <c r="Q27" s="43">
        <v>0</v>
      </c>
      <c r="R27" s="44">
        <v>0</v>
      </c>
      <c r="S27" s="42">
        <v>0</v>
      </c>
      <c r="T27" s="43">
        <v>0</v>
      </c>
      <c r="U27" s="43">
        <v>0</v>
      </c>
      <c r="V27" s="44">
        <v>0</v>
      </c>
      <c r="W27" s="43">
        <v>0</v>
      </c>
      <c r="X27" s="43">
        <v>0</v>
      </c>
    </row>
    <row r="28" spans="1:27" x14ac:dyDescent="0.2">
      <c r="A28" s="134" t="s">
        <v>306</v>
      </c>
      <c r="B28" s="134" t="s">
        <v>37</v>
      </c>
      <c r="C28" s="42">
        <v>5598.6</v>
      </c>
      <c r="D28" s="43">
        <v>3868.4</v>
      </c>
      <c r="E28" s="43">
        <v>5592.2</v>
      </c>
      <c r="F28" s="43">
        <v>1810.2</v>
      </c>
      <c r="G28" s="42">
        <v>5259.6</v>
      </c>
      <c r="H28" s="43">
        <v>6085.2</v>
      </c>
      <c r="I28" s="43">
        <v>5188</v>
      </c>
      <c r="J28" s="44">
        <v>6060.9</v>
      </c>
      <c r="K28" s="42">
        <v>8194.7000000000007</v>
      </c>
      <c r="L28" s="43">
        <v>9730.7999999999993</v>
      </c>
      <c r="M28" s="43">
        <v>6395.1</v>
      </c>
      <c r="N28" s="44">
        <v>3973.8</v>
      </c>
      <c r="O28" s="42">
        <v>5372.2</v>
      </c>
      <c r="P28" s="43">
        <v>5190.2</v>
      </c>
      <c r="Q28" s="43">
        <v>3149.3</v>
      </c>
      <c r="R28" s="44">
        <v>4039.1</v>
      </c>
      <c r="S28" s="42">
        <v>10435.1</v>
      </c>
      <c r="T28" s="43">
        <v>8938.1</v>
      </c>
      <c r="U28" s="43">
        <v>7597.0999999999995</v>
      </c>
      <c r="V28" s="44">
        <v>4961.8999999999996</v>
      </c>
      <c r="W28" s="43">
        <v>5407</v>
      </c>
      <c r="X28" s="43">
        <v>4108.3000000000011</v>
      </c>
      <c r="AA28" s="96"/>
    </row>
    <row r="29" spans="1:27" ht="18" customHeight="1" x14ac:dyDescent="0.2">
      <c r="A29" s="134" t="s">
        <v>307</v>
      </c>
      <c r="B29" s="134" t="s">
        <v>38</v>
      </c>
      <c r="C29" s="42">
        <v>4602.1000000000004</v>
      </c>
      <c r="D29" s="43">
        <v>3530.4</v>
      </c>
      <c r="E29" s="43">
        <v>1303.0999999999999</v>
      </c>
      <c r="F29" s="43">
        <v>157.69999999999999</v>
      </c>
      <c r="G29" s="42">
        <v>3313.1</v>
      </c>
      <c r="H29" s="43">
        <v>129.80000000000001</v>
      </c>
      <c r="I29" s="43">
        <v>1758.7</v>
      </c>
      <c r="J29" s="44">
        <v>825.1</v>
      </c>
      <c r="K29" s="42">
        <v>336</v>
      </c>
      <c r="L29" s="43">
        <v>981.4</v>
      </c>
      <c r="M29" s="43">
        <v>3701</v>
      </c>
      <c r="N29" s="44">
        <v>998.1</v>
      </c>
      <c r="O29" s="42">
        <v>2649.2</v>
      </c>
      <c r="P29" s="43">
        <v>2123.5</v>
      </c>
      <c r="Q29" s="43">
        <v>2580.4</v>
      </c>
      <c r="R29" s="44">
        <v>4681.3999999999996</v>
      </c>
      <c r="S29" s="42">
        <v>561.6</v>
      </c>
      <c r="T29" s="43">
        <v>1643.6</v>
      </c>
      <c r="U29" s="43">
        <v>5370.3</v>
      </c>
      <c r="V29" s="44">
        <v>1814.7</v>
      </c>
      <c r="W29" s="43">
        <v>4395</v>
      </c>
      <c r="X29" s="43">
        <v>1679</v>
      </c>
      <c r="AA29" s="96"/>
    </row>
    <row r="30" spans="1:27" x14ac:dyDescent="0.2">
      <c r="A30" s="134" t="s">
        <v>288</v>
      </c>
      <c r="B30" s="134" t="s">
        <v>20</v>
      </c>
      <c r="C30" s="42">
        <v>788.7</v>
      </c>
      <c r="D30" s="43">
        <v>814</v>
      </c>
      <c r="E30" s="43">
        <v>886.7</v>
      </c>
      <c r="F30" s="43">
        <v>1057.3</v>
      </c>
      <c r="G30" s="42">
        <v>1252.5</v>
      </c>
      <c r="H30" s="43">
        <v>1507.9</v>
      </c>
      <c r="I30" s="43">
        <v>1512.4</v>
      </c>
      <c r="J30" s="44">
        <v>4321.6000000000004</v>
      </c>
      <c r="K30" s="42">
        <v>3242.1</v>
      </c>
      <c r="L30" s="43">
        <v>2103.1</v>
      </c>
      <c r="M30" s="43">
        <v>1341</v>
      </c>
      <c r="N30" s="44">
        <v>1193.9000000000001</v>
      </c>
      <c r="O30" s="42">
        <v>1109.7</v>
      </c>
      <c r="P30" s="43">
        <v>1215.3</v>
      </c>
      <c r="Q30" s="43">
        <v>1202.2</v>
      </c>
      <c r="R30" s="44">
        <v>1292.7</v>
      </c>
      <c r="S30" s="42">
        <v>868.9</v>
      </c>
      <c r="T30" s="43">
        <v>938.9</v>
      </c>
      <c r="U30" s="43">
        <v>1865.7</v>
      </c>
      <c r="V30" s="44">
        <v>1694.1</v>
      </c>
      <c r="W30" s="43">
        <v>1226.3</v>
      </c>
      <c r="X30" s="43">
        <v>1287.4000000000001</v>
      </c>
      <c r="AA30" s="96"/>
    </row>
    <row r="31" spans="1:27" x14ac:dyDescent="0.2">
      <c r="A31" s="124" t="s">
        <v>292</v>
      </c>
      <c r="B31" s="124" t="s">
        <v>24</v>
      </c>
      <c r="C31" s="42">
        <v>0</v>
      </c>
      <c r="D31" s="43">
        <v>0</v>
      </c>
      <c r="E31" s="43">
        <v>0</v>
      </c>
      <c r="F31" s="43">
        <v>0</v>
      </c>
      <c r="G31" s="42">
        <v>10.1</v>
      </c>
      <c r="H31" s="43">
        <v>24.5</v>
      </c>
      <c r="I31" s="43">
        <v>110.8</v>
      </c>
      <c r="J31" s="44">
        <v>420</v>
      </c>
      <c r="K31" s="42">
        <v>610.9</v>
      </c>
      <c r="L31" s="43">
        <v>382.1</v>
      </c>
      <c r="M31" s="43">
        <v>493.7</v>
      </c>
      <c r="N31" s="44">
        <v>482.6</v>
      </c>
      <c r="O31" s="42">
        <v>557</v>
      </c>
      <c r="P31" s="43">
        <v>663.3</v>
      </c>
      <c r="Q31" s="43">
        <v>776</v>
      </c>
      <c r="R31" s="44">
        <v>600.4</v>
      </c>
      <c r="S31" s="42">
        <v>421.1</v>
      </c>
      <c r="T31" s="43">
        <v>427.5</v>
      </c>
      <c r="U31" s="43">
        <v>813.1</v>
      </c>
      <c r="V31" s="44">
        <v>900.6</v>
      </c>
      <c r="W31" s="43">
        <v>851.5</v>
      </c>
      <c r="X31" s="43">
        <v>871.7</v>
      </c>
      <c r="AA31" s="96"/>
    </row>
    <row r="32" spans="1:27" x14ac:dyDescent="0.2">
      <c r="A32" s="124" t="s">
        <v>308</v>
      </c>
      <c r="B32" s="124" t="s">
        <v>39</v>
      </c>
      <c r="C32" s="42">
        <v>40774.6</v>
      </c>
      <c r="D32" s="43">
        <v>40253.4</v>
      </c>
      <c r="E32" s="43">
        <v>40658.1</v>
      </c>
      <c r="F32" s="43">
        <v>44501.8</v>
      </c>
      <c r="G32" s="42">
        <v>45311.8</v>
      </c>
      <c r="H32" s="43">
        <v>47591</v>
      </c>
      <c r="I32" s="43">
        <v>51269</v>
      </c>
      <c r="J32" s="44">
        <v>47066.9</v>
      </c>
      <c r="K32" s="42">
        <v>46461.8</v>
      </c>
      <c r="L32" s="43">
        <v>45732.4</v>
      </c>
      <c r="M32" s="43">
        <v>46480.800000000003</v>
      </c>
      <c r="N32" s="44">
        <v>47584.7</v>
      </c>
      <c r="O32" s="42">
        <v>46184.2</v>
      </c>
      <c r="P32" s="43">
        <v>45954.2</v>
      </c>
      <c r="Q32" s="43">
        <v>47667.9</v>
      </c>
      <c r="R32" s="44">
        <v>47400.1</v>
      </c>
      <c r="S32" s="42">
        <v>46462</v>
      </c>
      <c r="T32" s="43">
        <v>48286.1</v>
      </c>
      <c r="U32" s="43">
        <v>50758.7</v>
      </c>
      <c r="V32" s="44">
        <v>52932.099999999991</v>
      </c>
      <c r="W32" s="43">
        <v>52439.899999999994</v>
      </c>
      <c r="X32" s="43">
        <v>54157.000000000007</v>
      </c>
      <c r="AA32" s="96"/>
    </row>
    <row r="33" spans="1:27" x14ac:dyDescent="0.2">
      <c r="A33" s="124" t="s">
        <v>309</v>
      </c>
      <c r="B33" s="124" t="s">
        <v>40</v>
      </c>
      <c r="C33" s="42">
        <v>82</v>
      </c>
      <c r="D33" s="43">
        <v>83</v>
      </c>
      <c r="E33" s="43">
        <v>75.900000000000006</v>
      </c>
      <c r="F33" s="43">
        <v>72.5</v>
      </c>
      <c r="G33" s="42">
        <v>69.3</v>
      </c>
      <c r="H33" s="43">
        <v>55.6</v>
      </c>
      <c r="I33" s="43">
        <v>62.7</v>
      </c>
      <c r="J33" s="44">
        <v>50.6</v>
      </c>
      <c r="K33" s="42">
        <v>57.3</v>
      </c>
      <c r="L33" s="43">
        <v>49</v>
      </c>
      <c r="M33" s="43">
        <v>49.7</v>
      </c>
      <c r="N33" s="44">
        <v>55.2</v>
      </c>
      <c r="O33" s="42">
        <v>48.3</v>
      </c>
      <c r="P33" s="43">
        <v>46.5</v>
      </c>
      <c r="Q33" s="43">
        <v>49.8</v>
      </c>
      <c r="R33" s="44">
        <v>55.8</v>
      </c>
      <c r="S33" s="42">
        <v>54</v>
      </c>
      <c r="T33" s="43">
        <v>66.900000000000006</v>
      </c>
      <c r="U33" s="43">
        <v>52.8</v>
      </c>
      <c r="V33" s="44">
        <v>58.1</v>
      </c>
      <c r="W33" s="43">
        <v>64.599999999999994</v>
      </c>
      <c r="X33" s="43">
        <v>64.2</v>
      </c>
      <c r="AA33" s="96"/>
    </row>
    <row r="34" spans="1:27" x14ac:dyDescent="0.2">
      <c r="A34" s="124" t="s">
        <v>310</v>
      </c>
      <c r="B34" s="124" t="s">
        <v>41</v>
      </c>
      <c r="C34" s="42">
        <v>66.3</v>
      </c>
      <c r="D34" s="43">
        <v>51</v>
      </c>
      <c r="E34" s="43">
        <v>4.5999999999999996</v>
      </c>
      <c r="F34" s="43">
        <v>0.1</v>
      </c>
      <c r="G34" s="42">
        <v>0.2</v>
      </c>
      <c r="H34" s="43">
        <v>53.6</v>
      </c>
      <c r="I34" s="43">
        <v>46.6</v>
      </c>
      <c r="J34" s="44">
        <v>39.1</v>
      </c>
      <c r="K34" s="42">
        <v>0</v>
      </c>
      <c r="L34" s="43">
        <v>0.1</v>
      </c>
      <c r="M34" s="43">
        <v>101.1</v>
      </c>
      <c r="N34" s="44">
        <v>156.1</v>
      </c>
      <c r="O34" s="42">
        <v>19.8</v>
      </c>
      <c r="P34" s="43">
        <v>55.4</v>
      </c>
      <c r="Q34" s="43">
        <v>60.5</v>
      </c>
      <c r="R34" s="44">
        <v>138.5</v>
      </c>
      <c r="S34" s="42">
        <v>0</v>
      </c>
      <c r="T34" s="43">
        <v>0.6</v>
      </c>
      <c r="U34" s="43">
        <v>0.4</v>
      </c>
      <c r="V34" s="44">
        <v>0</v>
      </c>
      <c r="W34" s="43">
        <v>2.2000000000000002</v>
      </c>
      <c r="X34" s="43">
        <v>25.200000000000003</v>
      </c>
      <c r="AA34" s="96"/>
    </row>
    <row r="35" spans="1:27" x14ac:dyDescent="0.2">
      <c r="A35" s="124" t="s">
        <v>311</v>
      </c>
      <c r="B35" s="124" t="s">
        <v>42</v>
      </c>
      <c r="C35" s="42">
        <v>0</v>
      </c>
      <c r="D35" s="43">
        <v>0</v>
      </c>
      <c r="E35" s="43">
        <v>0</v>
      </c>
      <c r="F35" s="43">
        <v>0</v>
      </c>
      <c r="G35" s="42">
        <v>0</v>
      </c>
      <c r="H35" s="43">
        <v>0</v>
      </c>
      <c r="I35" s="43">
        <v>0</v>
      </c>
      <c r="J35" s="44">
        <v>0</v>
      </c>
      <c r="K35" s="42">
        <v>0</v>
      </c>
      <c r="L35" s="43">
        <v>55.6</v>
      </c>
      <c r="M35" s="43">
        <v>0</v>
      </c>
      <c r="N35" s="44">
        <v>0</v>
      </c>
      <c r="O35" s="42">
        <v>0</v>
      </c>
      <c r="P35" s="43">
        <v>0</v>
      </c>
      <c r="Q35" s="43">
        <v>0</v>
      </c>
      <c r="R35" s="44">
        <v>0</v>
      </c>
      <c r="S35" s="42">
        <v>0</v>
      </c>
      <c r="T35" s="43">
        <v>0</v>
      </c>
      <c r="U35" s="43">
        <v>0</v>
      </c>
      <c r="V35" s="44">
        <v>0</v>
      </c>
      <c r="W35" s="43">
        <v>1.5</v>
      </c>
      <c r="X35" s="43">
        <v>1.8</v>
      </c>
      <c r="AA35" s="96"/>
    </row>
    <row r="36" spans="1:27" x14ac:dyDescent="0.2">
      <c r="A36" s="124" t="s">
        <v>312</v>
      </c>
      <c r="B36" s="124" t="s">
        <v>43</v>
      </c>
      <c r="C36" s="42">
        <v>776.4</v>
      </c>
      <c r="D36" s="43">
        <v>952</v>
      </c>
      <c r="E36" s="43">
        <v>903.9</v>
      </c>
      <c r="F36" s="43">
        <v>570.70000000000005</v>
      </c>
      <c r="G36" s="42">
        <v>1002.4</v>
      </c>
      <c r="H36" s="43">
        <v>1086.3</v>
      </c>
      <c r="I36" s="43">
        <v>1034.7</v>
      </c>
      <c r="J36" s="44">
        <v>669.7</v>
      </c>
      <c r="K36" s="42">
        <v>999.7</v>
      </c>
      <c r="L36" s="43">
        <v>965.1</v>
      </c>
      <c r="M36" s="43">
        <v>949.6</v>
      </c>
      <c r="N36" s="44">
        <v>552.29999999999995</v>
      </c>
      <c r="O36" s="42">
        <v>1024.7</v>
      </c>
      <c r="P36" s="43">
        <v>1052.1000000000001</v>
      </c>
      <c r="Q36" s="43">
        <v>1147.5</v>
      </c>
      <c r="R36" s="44">
        <v>656.4</v>
      </c>
      <c r="S36" s="42">
        <v>1252.8</v>
      </c>
      <c r="T36" s="43">
        <v>1245.4000000000001</v>
      </c>
      <c r="U36" s="43">
        <v>1041.0999999999999</v>
      </c>
      <c r="V36" s="44">
        <v>945.9</v>
      </c>
      <c r="W36" s="43">
        <v>1121.7</v>
      </c>
      <c r="X36" s="43">
        <v>1084.3999999999999</v>
      </c>
      <c r="AA36" s="96"/>
    </row>
    <row r="37" spans="1:27" s="14" customFormat="1" x14ac:dyDescent="0.2">
      <c r="A37" s="109" t="s">
        <v>313</v>
      </c>
      <c r="B37" s="109" t="s">
        <v>44</v>
      </c>
      <c r="C37" s="103">
        <f t="shared" ref="C37:W37" si="2">SUM(C27:C36)</f>
        <v>52688.700000000004</v>
      </c>
      <c r="D37" s="104">
        <f t="shared" si="2"/>
        <v>49552.2</v>
      </c>
      <c r="E37" s="104">
        <f t="shared" si="2"/>
        <v>49424.5</v>
      </c>
      <c r="F37" s="104">
        <f>SUM(F27:F36)</f>
        <v>48170.299999999996</v>
      </c>
      <c r="G37" s="103">
        <f t="shared" si="2"/>
        <v>56219.000000000007</v>
      </c>
      <c r="H37" s="104">
        <f t="shared" si="2"/>
        <v>56533.9</v>
      </c>
      <c r="I37" s="104">
        <f t="shared" si="2"/>
        <v>60982.899999999994</v>
      </c>
      <c r="J37" s="104">
        <f t="shared" si="2"/>
        <v>65386</v>
      </c>
      <c r="K37" s="103">
        <f t="shared" si="2"/>
        <v>63922.600000000006</v>
      </c>
      <c r="L37" s="104">
        <f t="shared" si="2"/>
        <v>59999.6</v>
      </c>
      <c r="M37" s="104">
        <f t="shared" si="2"/>
        <v>59512</v>
      </c>
      <c r="N37" s="104">
        <f t="shared" si="2"/>
        <v>54996.7</v>
      </c>
      <c r="O37" s="103">
        <f t="shared" si="2"/>
        <v>56965.1</v>
      </c>
      <c r="P37" s="104">
        <f t="shared" si="2"/>
        <v>56300.5</v>
      </c>
      <c r="Q37" s="104">
        <f t="shared" si="2"/>
        <v>56633.600000000006</v>
      </c>
      <c r="R37" s="104">
        <f t="shared" si="2"/>
        <v>58864.4</v>
      </c>
      <c r="S37" s="103">
        <f t="shared" si="2"/>
        <v>60055.5</v>
      </c>
      <c r="T37" s="104">
        <f t="shared" si="2"/>
        <v>61547.1</v>
      </c>
      <c r="U37" s="104">
        <f t="shared" si="2"/>
        <v>67499.199999999997</v>
      </c>
      <c r="V37" s="104">
        <f t="shared" si="2"/>
        <v>63307.399999999994</v>
      </c>
      <c r="W37" s="104">
        <f t="shared" si="2"/>
        <v>65509.69999999999</v>
      </c>
      <c r="X37" s="104">
        <f t="shared" ref="X37" si="3">SUM(X27:X36)</f>
        <v>63279.000000000007</v>
      </c>
    </row>
    <row r="38" spans="1:27" x14ac:dyDescent="0.2">
      <c r="A38" s="98" t="s">
        <v>314</v>
      </c>
      <c r="B38" s="98" t="s">
        <v>45</v>
      </c>
      <c r="C38" s="42"/>
      <c r="D38" s="43"/>
      <c r="E38" s="43"/>
      <c r="F38" s="43"/>
      <c r="G38" s="42"/>
      <c r="H38" s="43"/>
      <c r="I38" s="43"/>
      <c r="J38" s="44"/>
      <c r="K38" s="42"/>
      <c r="L38" s="43"/>
      <c r="M38" s="43"/>
      <c r="N38" s="44"/>
      <c r="O38" s="42"/>
      <c r="P38" s="43"/>
      <c r="Q38" s="43"/>
      <c r="R38" s="44"/>
      <c r="S38" s="42"/>
      <c r="T38" s="43"/>
      <c r="U38" s="43"/>
      <c r="V38" s="44"/>
      <c r="W38" s="43"/>
      <c r="X38" s="43"/>
    </row>
    <row r="39" spans="1:27" x14ac:dyDescent="0.2">
      <c r="A39" s="124" t="s">
        <v>315</v>
      </c>
      <c r="B39" s="124" t="s">
        <v>46</v>
      </c>
      <c r="C39" s="42">
        <v>130.1</v>
      </c>
      <c r="D39" s="43">
        <v>130.1</v>
      </c>
      <c r="E39" s="43">
        <v>130.1</v>
      </c>
      <c r="F39" s="43">
        <v>130.1</v>
      </c>
      <c r="G39" s="42">
        <v>130.1</v>
      </c>
      <c r="H39" s="43">
        <v>130.1</v>
      </c>
      <c r="I39" s="43">
        <v>130.1</v>
      </c>
      <c r="J39" s="44">
        <v>130.1</v>
      </c>
      <c r="K39" s="42">
        <v>130.1</v>
      </c>
      <c r="L39" s="43">
        <v>130.1</v>
      </c>
      <c r="M39" s="43">
        <v>130.1</v>
      </c>
      <c r="N39" s="44">
        <v>130.1</v>
      </c>
      <c r="O39" s="42">
        <v>130.1</v>
      </c>
      <c r="P39" s="43">
        <v>130.1</v>
      </c>
      <c r="Q39" s="43">
        <v>130.1</v>
      </c>
      <c r="R39" s="44">
        <v>130.1</v>
      </c>
      <c r="S39" s="42">
        <v>130.1</v>
      </c>
      <c r="T39" s="43">
        <v>130.1</v>
      </c>
      <c r="U39" s="43">
        <v>130.1</v>
      </c>
      <c r="V39" s="44">
        <v>130.1</v>
      </c>
      <c r="W39" s="43">
        <v>130.10000000000002</v>
      </c>
      <c r="X39" s="43">
        <v>130.10000000000002</v>
      </c>
      <c r="AA39" s="96"/>
    </row>
    <row r="40" spans="1:27" x14ac:dyDescent="0.2">
      <c r="A40" s="124" t="s">
        <v>316</v>
      </c>
      <c r="B40" s="124" t="s">
        <v>47</v>
      </c>
      <c r="C40" s="42">
        <f>993.8-37.5</f>
        <v>956.3</v>
      </c>
      <c r="D40" s="43">
        <f>993.8-37.5</f>
        <v>956.3</v>
      </c>
      <c r="E40" s="43">
        <f>993.8-37.5</f>
        <v>956.3</v>
      </c>
      <c r="F40" s="43">
        <v>956.3</v>
      </c>
      <c r="G40" s="42">
        <v>956.3</v>
      </c>
      <c r="H40" s="43">
        <v>956.3</v>
      </c>
      <c r="I40" s="43">
        <v>956.3</v>
      </c>
      <c r="J40" s="44">
        <v>956.3</v>
      </c>
      <c r="K40" s="42">
        <v>956.3</v>
      </c>
      <c r="L40" s="43">
        <v>956.3</v>
      </c>
      <c r="M40" s="43">
        <v>956.3</v>
      </c>
      <c r="N40" s="44">
        <v>956.3</v>
      </c>
      <c r="O40" s="42">
        <v>956.3</v>
      </c>
      <c r="P40" s="43">
        <v>956.3</v>
      </c>
      <c r="Q40" s="43">
        <v>956.3</v>
      </c>
      <c r="R40" s="44">
        <v>956.3</v>
      </c>
      <c r="S40" s="42">
        <v>956.3</v>
      </c>
      <c r="T40" s="43">
        <v>956.3</v>
      </c>
      <c r="U40" s="43">
        <v>956.3</v>
      </c>
      <c r="V40" s="44">
        <v>956.3</v>
      </c>
      <c r="W40" s="43">
        <v>956.3</v>
      </c>
      <c r="X40" s="43">
        <v>956.3</v>
      </c>
      <c r="AA40" s="96"/>
    </row>
    <row r="41" spans="1:27" x14ac:dyDescent="0.2">
      <c r="A41" s="124" t="s">
        <v>317</v>
      </c>
      <c r="B41" s="124" t="s">
        <v>48</v>
      </c>
      <c r="C41" s="42">
        <v>22.1</v>
      </c>
      <c r="D41" s="43">
        <v>-65.099999999999994</v>
      </c>
      <c r="E41" s="43">
        <v>-76.900000000000006</v>
      </c>
      <c r="F41" s="43">
        <v>-149.6</v>
      </c>
      <c r="G41" s="42">
        <v>-143.9</v>
      </c>
      <c r="H41" s="43">
        <v>-239.1</v>
      </c>
      <c r="I41" s="43">
        <v>-127.5</v>
      </c>
      <c r="J41" s="44">
        <v>-101</v>
      </c>
      <c r="K41" s="42">
        <v>-119.2</v>
      </c>
      <c r="L41" s="43">
        <v>-60.3</v>
      </c>
      <c r="M41" s="43">
        <v>-36.6</v>
      </c>
      <c r="N41" s="44">
        <v>-1.4</v>
      </c>
      <c r="O41" s="42">
        <v>47.5</v>
      </c>
      <c r="P41" s="43">
        <v>-3.9</v>
      </c>
      <c r="Q41" s="43">
        <v>42.9</v>
      </c>
      <c r="R41" s="44">
        <v>8.6</v>
      </c>
      <c r="S41" s="42">
        <v>-46.2</v>
      </c>
      <c r="T41" s="43">
        <v>45.6</v>
      </c>
      <c r="U41" s="43">
        <v>6.1</v>
      </c>
      <c r="V41" s="44">
        <v>20.799999999999955</v>
      </c>
      <c r="W41" s="43">
        <v>99.5</v>
      </c>
      <c r="X41" s="43">
        <v>123.4</v>
      </c>
      <c r="AA41" s="96"/>
    </row>
    <row r="42" spans="1:27" x14ac:dyDescent="0.2">
      <c r="A42" s="124" t="s">
        <v>318</v>
      </c>
      <c r="B42" s="124" t="s">
        <v>49</v>
      </c>
      <c r="C42" s="42">
        <v>52.1</v>
      </c>
      <c r="D42" s="43">
        <v>53.7</v>
      </c>
      <c r="E42" s="43">
        <v>64.400000000000006</v>
      </c>
      <c r="F42" s="43">
        <v>58</v>
      </c>
      <c r="G42" s="42">
        <v>57.8</v>
      </c>
      <c r="H42" s="43">
        <v>50.8</v>
      </c>
      <c r="I42" s="43">
        <v>50.2</v>
      </c>
      <c r="J42" s="44">
        <v>52.9</v>
      </c>
      <c r="K42" s="42">
        <v>52.9</v>
      </c>
      <c r="L42" s="43">
        <v>52.8</v>
      </c>
      <c r="M42" s="43">
        <v>52.8</v>
      </c>
      <c r="N42" s="44">
        <v>51.1</v>
      </c>
      <c r="O42" s="42">
        <v>51.1</v>
      </c>
      <c r="P42" s="43">
        <v>51.1</v>
      </c>
      <c r="Q42" s="43">
        <v>51.5</v>
      </c>
      <c r="R42" s="44">
        <v>47.4</v>
      </c>
      <c r="S42" s="42">
        <v>45.9</v>
      </c>
      <c r="T42" s="43">
        <v>45.7</v>
      </c>
      <c r="U42" s="43">
        <v>44.7</v>
      </c>
      <c r="V42" s="44">
        <v>39.299999999999997</v>
      </c>
      <c r="W42" s="43">
        <v>38.6</v>
      </c>
      <c r="X42" s="43">
        <v>38.1</v>
      </c>
      <c r="AA42" s="96"/>
    </row>
    <row r="43" spans="1:27" x14ac:dyDescent="0.2">
      <c r="A43" s="124" t="s">
        <v>319</v>
      </c>
      <c r="B43" s="124" t="s">
        <v>50</v>
      </c>
      <c r="C43" s="42">
        <v>0</v>
      </c>
      <c r="D43" s="43">
        <v>0</v>
      </c>
      <c r="E43" s="43">
        <v>0</v>
      </c>
      <c r="F43" s="43">
        <v>0</v>
      </c>
      <c r="G43" s="42">
        <v>-3.9</v>
      </c>
      <c r="H43" s="43">
        <v>-20.2</v>
      </c>
      <c r="I43" s="43">
        <v>2.1</v>
      </c>
      <c r="J43" s="44">
        <v>45.6</v>
      </c>
      <c r="K43" s="42">
        <v>41.7</v>
      </c>
      <c r="L43" s="43">
        <v>19.7</v>
      </c>
      <c r="M43" s="43">
        <v>11.9</v>
      </c>
      <c r="N43" s="44">
        <v>-1</v>
      </c>
      <c r="O43" s="42">
        <v>18.899999999999999</v>
      </c>
      <c r="P43" s="43">
        <v>26</v>
      </c>
      <c r="Q43" s="43">
        <v>34.1</v>
      </c>
      <c r="R43" s="44">
        <v>0.4</v>
      </c>
      <c r="S43" s="42">
        <v>-28.2</v>
      </c>
      <c r="T43" s="43">
        <v>7.8000000000000007</v>
      </c>
      <c r="U43" s="43">
        <v>67.400000000000006</v>
      </c>
      <c r="V43" s="44">
        <v>58.2</v>
      </c>
      <c r="W43" s="43">
        <v>49</v>
      </c>
      <c r="X43" s="43">
        <v>82.7</v>
      </c>
      <c r="AA43" s="96"/>
    </row>
    <row r="44" spans="1:27" x14ac:dyDescent="0.2">
      <c r="A44" s="124" t="s">
        <v>320</v>
      </c>
      <c r="B44" s="124" t="s">
        <v>51</v>
      </c>
      <c r="C44" s="42">
        <v>0</v>
      </c>
      <c r="D44" s="43">
        <v>0</v>
      </c>
      <c r="E44" s="43">
        <v>0</v>
      </c>
      <c r="F44" s="43">
        <v>0</v>
      </c>
      <c r="G44" s="42">
        <v>0</v>
      </c>
      <c r="H44" s="43">
        <v>0</v>
      </c>
      <c r="I44" s="43">
        <v>0</v>
      </c>
      <c r="J44" s="44">
        <v>0</v>
      </c>
      <c r="K44" s="42">
        <v>0</v>
      </c>
      <c r="L44" s="43">
        <v>14.2</v>
      </c>
      <c r="M44" s="43">
        <v>15</v>
      </c>
      <c r="N44" s="44">
        <v>15.8</v>
      </c>
      <c r="O44" s="42">
        <v>16.600000000000001</v>
      </c>
      <c r="P44" s="43">
        <v>17.8</v>
      </c>
      <c r="Q44" s="43">
        <v>19.399999999999999</v>
      </c>
      <c r="R44" s="44">
        <v>21.1</v>
      </c>
      <c r="S44" s="42">
        <v>22.7</v>
      </c>
      <c r="T44" s="43">
        <v>25</v>
      </c>
      <c r="U44" s="43">
        <v>27.8</v>
      </c>
      <c r="V44" s="44">
        <v>30.8</v>
      </c>
      <c r="W44" s="43">
        <v>33.6</v>
      </c>
      <c r="X44" s="43">
        <v>35.5</v>
      </c>
      <c r="AA44" s="96"/>
    </row>
    <row r="45" spans="1:27" x14ac:dyDescent="0.2">
      <c r="A45" s="124" t="s">
        <v>321</v>
      </c>
      <c r="B45" s="124" t="s">
        <v>52</v>
      </c>
      <c r="C45" s="42">
        <f>2704.2+37.5</f>
        <v>2741.7</v>
      </c>
      <c r="D45" s="43">
        <f>2509.5+37.5</f>
        <v>2547</v>
      </c>
      <c r="E45" s="43">
        <f>2709+37.5</f>
        <v>2746.5</v>
      </c>
      <c r="F45" s="43">
        <v>2844</v>
      </c>
      <c r="G45" s="42">
        <v>3017.3</v>
      </c>
      <c r="H45" s="43">
        <v>3099.7</v>
      </c>
      <c r="I45" s="43">
        <v>3266.7</v>
      </c>
      <c r="J45" s="44">
        <v>3138.3</v>
      </c>
      <c r="K45" s="42">
        <v>3219.1</v>
      </c>
      <c r="L45" s="43">
        <v>3401.8</v>
      </c>
      <c r="M45" s="43">
        <v>3612.6</v>
      </c>
      <c r="N45" s="44">
        <v>3733.5</v>
      </c>
      <c r="O45" s="42">
        <v>3911.2000000000003</v>
      </c>
      <c r="P45" s="43">
        <v>4102.8</v>
      </c>
      <c r="Q45" s="43">
        <v>4295.2</v>
      </c>
      <c r="R45" s="44">
        <v>4486.8999999999996</v>
      </c>
      <c r="S45" s="42">
        <v>4701.4000000000005</v>
      </c>
      <c r="T45" s="43">
        <v>4741</v>
      </c>
      <c r="U45" s="43">
        <v>4962.2</v>
      </c>
      <c r="V45" s="44">
        <v>5178.2</v>
      </c>
      <c r="W45" s="43">
        <v>5444</v>
      </c>
      <c r="X45" s="43">
        <v>5612.7</v>
      </c>
      <c r="AA45" s="96"/>
    </row>
    <row r="46" spans="1:27" s="14" customFormat="1" ht="16.899999999999999" customHeight="1" x14ac:dyDescent="0.2">
      <c r="A46" s="109" t="s">
        <v>322</v>
      </c>
      <c r="B46" s="109" t="s">
        <v>53</v>
      </c>
      <c r="C46" s="103">
        <f t="shared" ref="C46:W46" si="4">SUM(C38:C45)</f>
        <v>3902.2999999999993</v>
      </c>
      <c r="D46" s="104">
        <f t="shared" si="4"/>
        <v>3622</v>
      </c>
      <c r="E46" s="104">
        <f t="shared" si="4"/>
        <v>3820.3999999999996</v>
      </c>
      <c r="F46" s="104">
        <f t="shared" si="4"/>
        <v>3838.7999999999997</v>
      </c>
      <c r="G46" s="103">
        <f t="shared" si="4"/>
        <v>4013.7</v>
      </c>
      <c r="H46" s="104">
        <f t="shared" si="4"/>
        <v>3977.5999999999995</v>
      </c>
      <c r="I46" s="104">
        <f t="shared" si="4"/>
        <v>4277.8999999999996</v>
      </c>
      <c r="J46" s="104">
        <f t="shared" si="4"/>
        <v>4222.2</v>
      </c>
      <c r="K46" s="103">
        <f t="shared" si="4"/>
        <v>4280.8999999999996</v>
      </c>
      <c r="L46" s="104">
        <f t="shared" si="4"/>
        <v>4514.6000000000004</v>
      </c>
      <c r="M46" s="104">
        <f t="shared" si="4"/>
        <v>4742.1000000000004</v>
      </c>
      <c r="N46" s="104">
        <f t="shared" si="4"/>
        <v>4884.3999999999996</v>
      </c>
      <c r="O46" s="103">
        <f t="shared" si="4"/>
        <v>5131.7</v>
      </c>
      <c r="P46" s="104">
        <f t="shared" si="4"/>
        <v>5280.2</v>
      </c>
      <c r="Q46" s="104">
        <f t="shared" si="4"/>
        <v>5529.5</v>
      </c>
      <c r="R46" s="104">
        <f t="shared" si="4"/>
        <v>5650.7999999999993</v>
      </c>
      <c r="S46" s="103">
        <f t="shared" si="4"/>
        <v>5782</v>
      </c>
      <c r="T46" s="104">
        <f t="shared" si="4"/>
        <v>5951.5</v>
      </c>
      <c r="U46" s="104">
        <f t="shared" si="4"/>
        <v>6194.5999999999995</v>
      </c>
      <c r="V46" s="104">
        <f t="shared" si="4"/>
        <v>6413.7</v>
      </c>
      <c r="W46" s="103">
        <f t="shared" si="4"/>
        <v>6751.1</v>
      </c>
      <c r="X46" s="104">
        <f t="shared" ref="X46" si="5">SUM(X38:X45)</f>
        <v>6978.8</v>
      </c>
      <c r="AA46" s="96"/>
    </row>
    <row r="47" spans="1:27" ht="6" customHeight="1" x14ac:dyDescent="0.2">
      <c r="A47" s="97"/>
      <c r="B47" s="97"/>
      <c r="C47" s="42"/>
      <c r="D47" s="43"/>
      <c r="E47" s="43"/>
      <c r="F47" s="43"/>
      <c r="G47" s="42"/>
      <c r="H47" s="43"/>
      <c r="I47" s="43"/>
      <c r="J47" s="44"/>
      <c r="K47" s="42"/>
      <c r="L47" s="43"/>
      <c r="M47" s="43"/>
      <c r="N47" s="44"/>
      <c r="O47" s="42"/>
      <c r="P47" s="43"/>
      <c r="Q47" s="43"/>
      <c r="R47" s="44"/>
      <c r="S47" s="42"/>
      <c r="T47" s="43"/>
      <c r="U47" s="43"/>
      <c r="V47" s="44"/>
      <c r="W47" s="43"/>
      <c r="X47" s="43"/>
      <c r="AA47" s="96"/>
    </row>
    <row r="48" spans="1:27" x14ac:dyDescent="0.2">
      <c r="A48" s="124" t="s">
        <v>323</v>
      </c>
      <c r="B48" s="124" t="s">
        <v>54</v>
      </c>
      <c r="C48" s="42">
        <v>25.9</v>
      </c>
      <c r="D48" s="43">
        <v>28.9</v>
      </c>
      <c r="E48" s="43">
        <v>1.7</v>
      </c>
      <c r="F48" s="43">
        <v>1.7</v>
      </c>
      <c r="G48" s="42">
        <v>1.7</v>
      </c>
      <c r="H48" s="43">
        <v>1.7</v>
      </c>
      <c r="I48" s="43">
        <v>1.8</v>
      </c>
      <c r="J48" s="44">
        <v>2.2999999999999998</v>
      </c>
      <c r="K48" s="42">
        <v>2.2999999999999998</v>
      </c>
      <c r="L48" s="43">
        <v>2.2999999999999998</v>
      </c>
      <c r="M48" s="43">
        <v>2.2999999999999998</v>
      </c>
      <c r="N48" s="44">
        <v>2.2999999999999998</v>
      </c>
      <c r="O48" s="42">
        <v>2.2999999999999998</v>
      </c>
      <c r="P48" s="43">
        <v>2.2999999999999998</v>
      </c>
      <c r="Q48" s="43">
        <v>2.4</v>
      </c>
      <c r="R48" s="44">
        <v>2.2999999999999998</v>
      </c>
      <c r="S48" s="42">
        <v>2.2999999999999998</v>
      </c>
      <c r="T48" s="43">
        <v>2.2999999999999998</v>
      </c>
      <c r="U48" s="43">
        <v>2.2999999999999998</v>
      </c>
      <c r="V48" s="44">
        <v>2.2999999999999998</v>
      </c>
      <c r="W48" s="43">
        <v>2.2999999999999998</v>
      </c>
      <c r="X48" s="43">
        <v>2.2999999999999998</v>
      </c>
      <c r="AA48" s="96"/>
    </row>
    <row r="49" spans="1:24" ht="6" customHeight="1" x14ac:dyDescent="0.2">
      <c r="A49" s="124"/>
      <c r="B49" s="124"/>
      <c r="C49" s="42"/>
      <c r="D49" s="43"/>
      <c r="E49" s="43"/>
      <c r="F49" s="43"/>
      <c r="G49" s="42"/>
      <c r="H49" s="43"/>
      <c r="I49" s="43"/>
      <c r="J49" s="44"/>
      <c r="K49" s="42"/>
      <c r="L49" s="43"/>
      <c r="M49" s="43"/>
      <c r="N49" s="44"/>
      <c r="O49" s="42"/>
      <c r="P49" s="43"/>
      <c r="Q49" s="43"/>
      <c r="R49" s="44"/>
      <c r="S49" s="42"/>
      <c r="T49" s="43"/>
      <c r="U49" s="43"/>
      <c r="V49" s="44"/>
      <c r="W49" s="43"/>
      <c r="X49" s="43"/>
    </row>
    <row r="50" spans="1:24" s="14" customFormat="1" x14ac:dyDescent="0.2">
      <c r="A50" s="109" t="s">
        <v>324</v>
      </c>
      <c r="B50" s="109" t="s">
        <v>55</v>
      </c>
      <c r="C50" s="103">
        <f t="shared" ref="C50:X50" si="6">C46+C48</f>
        <v>3928.1999999999994</v>
      </c>
      <c r="D50" s="104">
        <f t="shared" si="6"/>
        <v>3650.9</v>
      </c>
      <c r="E50" s="104">
        <f t="shared" si="6"/>
        <v>3822.0999999999995</v>
      </c>
      <c r="F50" s="104">
        <f t="shared" si="6"/>
        <v>3840.4999999999995</v>
      </c>
      <c r="G50" s="103">
        <f t="shared" si="6"/>
        <v>4015.3999999999996</v>
      </c>
      <c r="H50" s="104">
        <f t="shared" si="6"/>
        <v>3979.2999999999993</v>
      </c>
      <c r="I50" s="104">
        <f t="shared" si="6"/>
        <v>4279.7</v>
      </c>
      <c r="J50" s="104">
        <f t="shared" si="6"/>
        <v>4224.5</v>
      </c>
      <c r="K50" s="103">
        <f t="shared" si="6"/>
        <v>4283.2</v>
      </c>
      <c r="L50" s="104">
        <f t="shared" si="6"/>
        <v>4516.9000000000005</v>
      </c>
      <c r="M50" s="104">
        <f t="shared" si="6"/>
        <v>4744.4000000000005</v>
      </c>
      <c r="N50" s="104">
        <f t="shared" si="6"/>
        <v>4886.7</v>
      </c>
      <c r="O50" s="103">
        <f t="shared" si="6"/>
        <v>5134</v>
      </c>
      <c r="P50" s="104">
        <f t="shared" si="6"/>
        <v>5282.5</v>
      </c>
      <c r="Q50" s="104">
        <f t="shared" si="6"/>
        <v>5531.9</v>
      </c>
      <c r="R50" s="104">
        <f t="shared" si="6"/>
        <v>5653.0999999999995</v>
      </c>
      <c r="S50" s="103">
        <f t="shared" si="6"/>
        <v>5784.3</v>
      </c>
      <c r="T50" s="104">
        <f t="shared" si="6"/>
        <v>5953.8</v>
      </c>
      <c r="U50" s="104">
        <f t="shared" si="6"/>
        <v>6196.9</v>
      </c>
      <c r="V50" s="104">
        <f t="shared" si="6"/>
        <v>6416</v>
      </c>
      <c r="W50" s="103">
        <f t="shared" si="6"/>
        <v>6753.4000000000005</v>
      </c>
      <c r="X50" s="104">
        <f t="shared" si="6"/>
        <v>6981.1</v>
      </c>
    </row>
    <row r="51" spans="1:24" x14ac:dyDescent="0.2">
      <c r="A51" s="124"/>
      <c r="B51" s="124"/>
      <c r="C51" s="42"/>
      <c r="D51" s="43"/>
      <c r="E51" s="43"/>
      <c r="F51" s="43"/>
      <c r="G51" s="42"/>
      <c r="H51" s="43"/>
      <c r="I51" s="43"/>
      <c r="J51" s="44"/>
      <c r="K51" s="42"/>
      <c r="L51" s="43"/>
      <c r="M51" s="43"/>
      <c r="N51" s="44"/>
      <c r="O51" s="42"/>
      <c r="P51" s="43"/>
      <c r="Q51" s="43"/>
      <c r="R51" s="44"/>
      <c r="S51" s="42"/>
      <c r="T51" s="43"/>
      <c r="U51" s="43"/>
      <c r="V51" s="44"/>
      <c r="W51" s="43"/>
      <c r="X51" s="43"/>
    </row>
    <row r="52" spans="1:24" s="14" customFormat="1" x14ac:dyDescent="0.2">
      <c r="A52" s="109" t="s">
        <v>325</v>
      </c>
      <c r="B52" s="109" t="s">
        <v>56</v>
      </c>
      <c r="C52" s="103">
        <f t="shared" ref="C52:X52" si="7">C37+C50</f>
        <v>56616.9</v>
      </c>
      <c r="D52" s="104">
        <f t="shared" si="7"/>
        <v>53203.1</v>
      </c>
      <c r="E52" s="104">
        <f t="shared" si="7"/>
        <v>53246.6</v>
      </c>
      <c r="F52" s="104">
        <f t="shared" si="7"/>
        <v>52010.799999999996</v>
      </c>
      <c r="G52" s="103">
        <f t="shared" si="7"/>
        <v>60234.400000000009</v>
      </c>
      <c r="H52" s="104">
        <f t="shared" si="7"/>
        <v>60513.2</v>
      </c>
      <c r="I52" s="104">
        <f t="shared" si="7"/>
        <v>65262.599999999991</v>
      </c>
      <c r="J52" s="104">
        <f t="shared" si="7"/>
        <v>69610.5</v>
      </c>
      <c r="K52" s="103">
        <f t="shared" si="7"/>
        <v>68205.8</v>
      </c>
      <c r="L52" s="104">
        <f t="shared" si="7"/>
        <v>64516.5</v>
      </c>
      <c r="M52" s="104">
        <f t="shared" si="7"/>
        <v>64256.4</v>
      </c>
      <c r="N52" s="104">
        <f t="shared" si="7"/>
        <v>59883.399999999994</v>
      </c>
      <c r="O52" s="103">
        <f t="shared" si="7"/>
        <v>62099.1</v>
      </c>
      <c r="P52" s="104">
        <f t="shared" si="7"/>
        <v>61583</v>
      </c>
      <c r="Q52" s="104">
        <f t="shared" si="7"/>
        <v>62165.500000000007</v>
      </c>
      <c r="R52" s="104">
        <f t="shared" si="7"/>
        <v>64517.5</v>
      </c>
      <c r="S52" s="103">
        <f t="shared" si="7"/>
        <v>65839.8</v>
      </c>
      <c r="T52" s="104">
        <f t="shared" si="7"/>
        <v>67500.899999999994</v>
      </c>
      <c r="U52" s="104">
        <f t="shared" si="7"/>
        <v>73696.099999999991</v>
      </c>
      <c r="V52" s="104">
        <f t="shared" si="7"/>
        <v>69723.399999999994</v>
      </c>
      <c r="W52" s="103">
        <f t="shared" si="7"/>
        <v>72263.099999999991</v>
      </c>
      <c r="X52" s="104">
        <f t="shared" si="7"/>
        <v>70260.100000000006</v>
      </c>
    </row>
    <row r="53" spans="1:24" x14ac:dyDescent="0.2">
      <c r="A53" s="3"/>
      <c r="B53" s="3"/>
      <c r="C53" s="135"/>
      <c r="D53" s="135"/>
      <c r="E53" s="135"/>
      <c r="F53" s="135"/>
      <c r="G53" s="135"/>
      <c r="H53" s="135"/>
      <c r="I53" s="135"/>
      <c r="J53" s="135"/>
      <c r="K53" s="135"/>
      <c r="L53" s="135"/>
      <c r="M53" s="135"/>
      <c r="N53" s="135"/>
      <c r="O53" s="135"/>
      <c r="P53" s="135"/>
      <c r="Q53" s="135"/>
      <c r="R53" s="135"/>
      <c r="S53" s="135"/>
      <c r="T53" s="135"/>
      <c r="U53" s="135"/>
      <c r="V53" s="135"/>
      <c r="W53" s="135"/>
      <c r="X53" s="135"/>
    </row>
    <row r="54" spans="1:24" s="120" customFormat="1" ht="11.25" hidden="1" x14ac:dyDescent="0.2">
      <c r="A54" s="118"/>
      <c r="B54" s="118" t="s">
        <v>590</v>
      </c>
      <c r="C54" s="119">
        <f>C52-C23</f>
        <v>0</v>
      </c>
      <c r="D54" s="119">
        <f t="shared" ref="D54:X54" si="8">D52-D23</f>
        <v>0</v>
      </c>
      <c r="E54" s="119">
        <f t="shared" si="8"/>
        <v>0</v>
      </c>
      <c r="F54" s="119">
        <f t="shared" si="8"/>
        <v>0</v>
      </c>
      <c r="G54" s="119">
        <f t="shared" si="8"/>
        <v>0</v>
      </c>
      <c r="H54" s="119">
        <f t="shared" si="8"/>
        <v>0</v>
      </c>
      <c r="I54" s="119">
        <f t="shared" si="8"/>
        <v>0</v>
      </c>
      <c r="J54" s="119">
        <f t="shared" si="8"/>
        <v>0</v>
      </c>
      <c r="K54" s="119">
        <f t="shared" si="8"/>
        <v>0</v>
      </c>
      <c r="L54" s="119">
        <f t="shared" si="8"/>
        <v>0</v>
      </c>
      <c r="M54" s="119">
        <f t="shared" si="8"/>
        <v>0</v>
      </c>
      <c r="N54" s="119">
        <f t="shared" si="8"/>
        <v>0</v>
      </c>
      <c r="O54" s="119">
        <f t="shared" si="8"/>
        <v>0</v>
      </c>
      <c r="P54" s="119">
        <f t="shared" si="8"/>
        <v>0</v>
      </c>
      <c r="Q54" s="119">
        <f t="shared" si="8"/>
        <v>0</v>
      </c>
      <c r="R54" s="119">
        <f t="shared" si="8"/>
        <v>0</v>
      </c>
      <c r="S54" s="119">
        <f t="shared" si="8"/>
        <v>0</v>
      </c>
      <c r="T54" s="119">
        <f t="shared" si="8"/>
        <v>0</v>
      </c>
      <c r="U54" s="119">
        <f t="shared" si="8"/>
        <v>0</v>
      </c>
      <c r="V54" s="119">
        <f t="shared" si="8"/>
        <v>0</v>
      </c>
      <c r="W54" s="119">
        <f t="shared" si="8"/>
        <v>0</v>
      </c>
      <c r="X54" s="119">
        <f t="shared" si="8"/>
        <v>0</v>
      </c>
    </row>
  </sheetData>
  <mergeCells count="8">
    <mergeCell ref="S2:V2"/>
    <mergeCell ref="W2:X2"/>
    <mergeCell ref="A2:A3"/>
    <mergeCell ref="B2:B3"/>
    <mergeCell ref="C2:F2"/>
    <mergeCell ref="G2:J2"/>
    <mergeCell ref="K2:N2"/>
    <mergeCell ref="O2:R2"/>
  </mergeCells>
  <printOptions horizontalCentered="1"/>
  <pageMargins left="0.23622047244094491" right="0.23622047244094491" top="0.74803149606299213" bottom="0.74803149606299213" header="0.31496062992125984" footer="0.31496062992125984"/>
  <pageSetup paperSize="9" scale="62" orientation="landscape" r:id="rId1"/>
  <headerFooter alignWithMargins="0">
    <oddHeader xml:space="preserve">&amp;C&amp;"Times New Roman,Kursywa"&amp;12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6"/>
  <sheetViews>
    <sheetView showGridLines="0" view="pageBreakPreview" zoomScaleNormal="100" zoomScaleSheetLayoutView="100" zoomScalePageLayoutView="80" workbookViewId="0">
      <pane xSplit="2" ySplit="3" topLeftCell="C4" activePane="bottomRight" state="frozen"/>
      <selection activeCell="B1" sqref="B1"/>
      <selection pane="topRight" activeCell="B1" sqref="B1"/>
      <selection pane="bottomLeft" activeCell="B1" sqref="B1"/>
      <selection pane="bottomRight" activeCell="A4" sqref="A4"/>
    </sheetView>
  </sheetViews>
  <sheetFormatPr defaultColWidth="8.85546875" defaultRowHeight="12.75" outlineLevelCol="1" x14ac:dyDescent="0.2"/>
  <cols>
    <col min="1" max="1" customWidth="true" style="2" width="54.140625" collapsed="true"/>
    <col min="2" max="2" customWidth="true" hidden="true" style="2" width="54.85546875" collapsed="true" outlineLevel="1"/>
    <col min="3" max="3" bestFit="true" customWidth="true" style="3" width="8.140625" collapsed="true"/>
    <col min="4" max="24" bestFit="true" customWidth="true" style="3" width="8.140625" collapsed="true"/>
    <col min="25" max="16384" style="3" width="8.85546875" collapsed="true"/>
  </cols>
  <sheetData>
    <row r="2" spans="1:24" x14ac:dyDescent="0.2">
      <c r="A2" s="385" t="s">
        <v>384</v>
      </c>
      <c r="B2" s="385" t="s">
        <v>130</v>
      </c>
      <c r="C2" s="383">
        <v>2007</v>
      </c>
      <c r="D2" s="384"/>
      <c r="E2" s="384"/>
      <c r="F2" s="384"/>
      <c r="G2" s="383">
        <v>2008</v>
      </c>
      <c r="H2" s="384"/>
      <c r="I2" s="384"/>
      <c r="J2" s="384"/>
      <c r="K2" s="383">
        <v>2009</v>
      </c>
      <c r="L2" s="384"/>
      <c r="M2" s="384"/>
      <c r="N2" s="384"/>
      <c r="O2" s="383">
        <v>2010</v>
      </c>
      <c r="P2" s="384"/>
      <c r="Q2" s="384"/>
      <c r="R2" s="384"/>
      <c r="S2" s="383">
        <v>2011</v>
      </c>
      <c r="T2" s="384"/>
      <c r="U2" s="384"/>
      <c r="V2" s="384"/>
      <c r="W2" s="383">
        <v>2012</v>
      </c>
      <c r="X2" s="384"/>
    </row>
    <row r="3" spans="1:24" s="4" customFormat="1" x14ac:dyDescent="0.2">
      <c r="A3" s="386"/>
      <c r="B3" s="386"/>
      <c r="C3" s="37" t="s">
        <v>253</v>
      </c>
      <c r="D3" s="38" t="s">
        <v>254</v>
      </c>
      <c r="E3" s="38" t="s">
        <v>255</v>
      </c>
      <c r="F3" s="38" t="s">
        <v>256</v>
      </c>
      <c r="G3" s="37" t="s">
        <v>253</v>
      </c>
      <c r="H3" s="38" t="s">
        <v>254</v>
      </c>
      <c r="I3" s="38" t="s">
        <v>255</v>
      </c>
      <c r="J3" s="38" t="s">
        <v>256</v>
      </c>
      <c r="K3" s="37" t="s">
        <v>253</v>
      </c>
      <c r="L3" s="38" t="s">
        <v>254</v>
      </c>
      <c r="M3" s="38" t="s">
        <v>255</v>
      </c>
      <c r="N3" s="38" t="s">
        <v>256</v>
      </c>
      <c r="O3" s="37" t="s">
        <v>253</v>
      </c>
      <c r="P3" s="38" t="s">
        <v>254</v>
      </c>
      <c r="Q3" s="38" t="s">
        <v>255</v>
      </c>
      <c r="R3" s="38" t="s">
        <v>256</v>
      </c>
      <c r="S3" s="37" t="s">
        <v>253</v>
      </c>
      <c r="T3" s="38" t="s">
        <v>254</v>
      </c>
      <c r="U3" s="38" t="s">
        <v>255</v>
      </c>
      <c r="V3" s="38" t="s">
        <v>256</v>
      </c>
      <c r="W3" s="37" t="s">
        <v>253</v>
      </c>
      <c r="X3" s="38" t="s">
        <v>254</v>
      </c>
    </row>
    <row r="4" spans="1:24" s="4" customFormat="1" ht="12.75" customHeight="1" x14ac:dyDescent="0.2">
      <c r="A4" s="21" t="s">
        <v>258</v>
      </c>
      <c r="B4" s="21" t="s">
        <v>15</v>
      </c>
      <c r="C4" s="17"/>
      <c r="D4" s="7"/>
      <c r="E4" s="6"/>
      <c r="F4" s="7"/>
      <c r="G4" s="17"/>
      <c r="H4" s="7"/>
      <c r="I4" s="6"/>
      <c r="J4" s="18"/>
      <c r="K4" s="17"/>
      <c r="L4" s="7"/>
      <c r="M4" s="6"/>
      <c r="N4" s="18"/>
      <c r="O4" s="17"/>
      <c r="P4" s="7"/>
      <c r="Q4" s="6"/>
      <c r="R4" s="18"/>
      <c r="S4" s="17"/>
      <c r="T4" s="7"/>
      <c r="U4" s="6"/>
      <c r="V4" s="18"/>
      <c r="W4" s="6"/>
      <c r="X4" s="6"/>
    </row>
    <row r="5" spans="1:24" s="8" customFormat="1" x14ac:dyDescent="0.2">
      <c r="A5" s="97" t="s">
        <v>385</v>
      </c>
      <c r="B5" s="97" t="s">
        <v>131</v>
      </c>
      <c r="C5" s="42">
        <f t="shared" ref="C5:X5" si="0">SUM(C26,C41,C44,C63)</f>
        <v>14102.2</v>
      </c>
      <c r="D5" s="43">
        <f t="shared" si="0"/>
        <v>14839.2</v>
      </c>
      <c r="E5" s="43">
        <f t="shared" si="0"/>
        <v>15680.999999999998</v>
      </c>
      <c r="F5" s="43">
        <f t="shared" si="0"/>
        <v>16642.399999999998</v>
      </c>
      <c r="G5" s="42">
        <f t="shared" si="0"/>
        <v>18307.5</v>
      </c>
      <c r="H5" s="43">
        <f t="shared" si="0"/>
        <v>19662.900000000001</v>
      </c>
      <c r="I5" s="43">
        <f t="shared" si="0"/>
        <v>21911.9</v>
      </c>
      <c r="J5" s="44">
        <f t="shared" si="0"/>
        <v>23490.5</v>
      </c>
      <c r="K5" s="42">
        <f t="shared" si="0"/>
        <v>24706.100000000002</v>
      </c>
      <c r="L5" s="43">
        <f t="shared" si="0"/>
        <v>24904</v>
      </c>
      <c r="M5" s="43">
        <f t="shared" si="0"/>
        <v>25418.399999999998</v>
      </c>
      <c r="N5" s="44">
        <f t="shared" si="0"/>
        <v>26540.399999999998</v>
      </c>
      <c r="O5" s="42">
        <f t="shared" si="0"/>
        <v>26775.300000000003</v>
      </c>
      <c r="P5" s="43">
        <f t="shared" si="0"/>
        <v>28108.9</v>
      </c>
      <c r="Q5" s="43">
        <f t="shared" si="0"/>
        <v>29478.7</v>
      </c>
      <c r="R5" s="44">
        <f t="shared" si="0"/>
        <v>30875.5</v>
      </c>
      <c r="S5" s="42">
        <f t="shared" si="0"/>
        <v>31757.199999999997</v>
      </c>
      <c r="T5" s="43">
        <f t="shared" si="0"/>
        <v>33487.9</v>
      </c>
      <c r="U5" s="43">
        <f t="shared" si="0"/>
        <v>35278.6</v>
      </c>
      <c r="V5" s="44">
        <f t="shared" si="0"/>
        <v>37103.599999999999</v>
      </c>
      <c r="W5" s="43">
        <f t="shared" si="0"/>
        <v>37990</v>
      </c>
      <c r="X5" s="43">
        <f t="shared" si="0"/>
        <v>38680.299999999996</v>
      </c>
    </row>
    <row r="6" spans="1:24" s="8" customFormat="1" x14ac:dyDescent="0.2">
      <c r="A6" s="41" t="s">
        <v>386</v>
      </c>
      <c r="B6" s="41" t="s">
        <v>132</v>
      </c>
      <c r="C6" s="42">
        <f t="shared" ref="C6:X6" si="1">SUM(C29,C47,C66)</f>
        <v>0</v>
      </c>
      <c r="D6" s="43">
        <f t="shared" si="1"/>
        <v>0</v>
      </c>
      <c r="E6" s="43">
        <f t="shared" si="1"/>
        <v>0</v>
      </c>
      <c r="F6" s="43">
        <f t="shared" si="1"/>
        <v>0</v>
      </c>
      <c r="G6" s="42">
        <f t="shared" si="1"/>
        <v>0</v>
      </c>
      <c r="H6" s="43">
        <f t="shared" si="1"/>
        <v>0</v>
      </c>
      <c r="I6" s="43">
        <f t="shared" si="1"/>
        <v>0</v>
      </c>
      <c r="J6" s="44">
        <f t="shared" si="1"/>
        <v>0</v>
      </c>
      <c r="K6" s="42">
        <f t="shared" si="1"/>
        <v>0</v>
      </c>
      <c r="L6" s="43">
        <f t="shared" si="1"/>
        <v>0</v>
      </c>
      <c r="M6" s="43">
        <f t="shared" si="1"/>
        <v>0</v>
      </c>
      <c r="N6" s="44">
        <f t="shared" si="1"/>
        <v>0</v>
      </c>
      <c r="O6" s="42">
        <f t="shared" si="1"/>
        <v>0</v>
      </c>
      <c r="P6" s="43">
        <f t="shared" si="1"/>
        <v>0</v>
      </c>
      <c r="Q6" s="43">
        <f t="shared" si="1"/>
        <v>0</v>
      </c>
      <c r="R6" s="44">
        <f t="shared" si="1"/>
        <v>0</v>
      </c>
      <c r="S6" s="42">
        <f t="shared" si="1"/>
        <v>0</v>
      </c>
      <c r="T6" s="43">
        <f t="shared" si="1"/>
        <v>0</v>
      </c>
      <c r="U6" s="43">
        <f t="shared" si="1"/>
        <v>0</v>
      </c>
      <c r="V6" s="44">
        <f t="shared" si="1"/>
        <v>0</v>
      </c>
      <c r="W6" s="43">
        <f t="shared" si="1"/>
        <v>3108.3</v>
      </c>
      <c r="X6" s="43">
        <f t="shared" si="1"/>
        <v>3146.2</v>
      </c>
    </row>
    <row r="7" spans="1:24" s="8" customFormat="1" x14ac:dyDescent="0.2">
      <c r="A7" s="41" t="s">
        <v>387</v>
      </c>
      <c r="B7" s="41" t="s">
        <v>133</v>
      </c>
      <c r="C7" s="42">
        <f t="shared" ref="C7:X7" si="2">SUM(C30,C48,C67)</f>
        <v>151.30000000000001</v>
      </c>
      <c r="D7" s="43">
        <f t="shared" si="2"/>
        <v>150.70000000000002</v>
      </c>
      <c r="E7" s="43">
        <f t="shared" si="2"/>
        <v>127.9</v>
      </c>
      <c r="F7" s="43">
        <f t="shared" si="2"/>
        <v>131</v>
      </c>
      <c r="G7" s="42">
        <f t="shared" si="2"/>
        <v>133.1</v>
      </c>
      <c r="H7" s="43">
        <f t="shared" si="2"/>
        <v>137.9</v>
      </c>
      <c r="I7" s="43">
        <f t="shared" si="2"/>
        <v>180.3</v>
      </c>
      <c r="J7" s="44">
        <f t="shared" si="2"/>
        <v>167</v>
      </c>
      <c r="K7" s="42">
        <f t="shared" si="2"/>
        <v>273.59999999999997</v>
      </c>
      <c r="L7" s="43">
        <f t="shared" si="2"/>
        <v>255.5</v>
      </c>
      <c r="M7" s="43">
        <f t="shared" si="2"/>
        <v>178.5</v>
      </c>
      <c r="N7" s="44">
        <f t="shared" si="2"/>
        <v>175.6</v>
      </c>
      <c r="O7" s="42">
        <f t="shared" si="2"/>
        <v>144.60000000000002</v>
      </c>
      <c r="P7" s="43">
        <f t="shared" si="2"/>
        <v>173.6</v>
      </c>
      <c r="Q7" s="43">
        <f t="shared" si="2"/>
        <v>167.3</v>
      </c>
      <c r="R7" s="44">
        <f t="shared" si="2"/>
        <v>124.80000000000001</v>
      </c>
      <c r="S7" s="42">
        <f t="shared" si="2"/>
        <v>110.5</v>
      </c>
      <c r="T7" s="43">
        <f t="shared" si="2"/>
        <v>198.6</v>
      </c>
      <c r="U7" s="43">
        <f t="shared" si="2"/>
        <v>283.10000000000002</v>
      </c>
      <c r="V7" s="44">
        <f t="shared" si="2"/>
        <v>275.40000000000003</v>
      </c>
      <c r="W7" s="43">
        <f t="shared" si="2"/>
        <v>1860.1</v>
      </c>
      <c r="X7" s="43">
        <f t="shared" si="2"/>
        <v>2100.3000000000002</v>
      </c>
    </row>
    <row r="8" spans="1:24" s="4" customFormat="1" x14ac:dyDescent="0.2">
      <c r="A8" s="97" t="s">
        <v>388</v>
      </c>
      <c r="B8" s="97" t="s">
        <v>134</v>
      </c>
      <c r="C8" s="42">
        <f>SUM(C49,C68)</f>
        <v>108.5</v>
      </c>
      <c r="D8" s="43">
        <f t="shared" ref="D8:X8" si="3">SUM(D49,D68)</f>
        <v>101.4</v>
      </c>
      <c r="E8" s="43">
        <f t="shared" si="3"/>
        <v>96.6</v>
      </c>
      <c r="F8" s="43">
        <f t="shared" si="3"/>
        <v>13.5</v>
      </c>
      <c r="G8" s="42">
        <f t="shared" si="3"/>
        <v>13.5</v>
      </c>
      <c r="H8" s="43">
        <f t="shared" si="3"/>
        <v>13.5</v>
      </c>
      <c r="I8" s="43">
        <f t="shared" si="3"/>
        <v>13.5</v>
      </c>
      <c r="J8" s="44">
        <f t="shared" si="3"/>
        <v>2294.5</v>
      </c>
      <c r="K8" s="42">
        <f t="shared" si="3"/>
        <v>4410</v>
      </c>
      <c r="L8" s="43">
        <f t="shared" si="3"/>
        <v>4056.2</v>
      </c>
      <c r="M8" s="43">
        <f t="shared" si="3"/>
        <v>3885.9</v>
      </c>
      <c r="N8" s="44">
        <f t="shared" si="3"/>
        <v>3907.3</v>
      </c>
      <c r="O8" s="42">
        <f t="shared" si="3"/>
        <v>3804.3</v>
      </c>
      <c r="P8" s="43">
        <f t="shared" si="3"/>
        <v>4159.6000000000004</v>
      </c>
      <c r="Q8" s="43">
        <f t="shared" si="3"/>
        <v>4446.7</v>
      </c>
      <c r="R8" s="44">
        <f t="shared" si="3"/>
        <v>4446.4000000000005</v>
      </c>
      <c r="S8" s="42">
        <f t="shared" si="3"/>
        <v>4336.5</v>
      </c>
      <c r="T8" s="43">
        <f t="shared" si="3"/>
        <v>4256.8999999999996</v>
      </c>
      <c r="U8" s="43">
        <f t="shared" si="3"/>
        <v>5143.6000000000004</v>
      </c>
      <c r="V8" s="44">
        <f t="shared" si="3"/>
        <v>5959.6</v>
      </c>
      <c r="W8" s="43">
        <f t="shared" si="3"/>
        <v>5828.2</v>
      </c>
      <c r="X8" s="43">
        <f t="shared" si="3"/>
        <v>5738.9</v>
      </c>
    </row>
    <row r="9" spans="1:24" s="73" customFormat="1" x14ac:dyDescent="0.2">
      <c r="A9" s="126" t="s">
        <v>389</v>
      </c>
      <c r="B9" s="126" t="s">
        <v>135</v>
      </c>
      <c r="C9" s="60">
        <f>C69</f>
        <v>0</v>
      </c>
      <c r="D9" s="61">
        <f t="shared" ref="D9:X9" si="4">D69</f>
        <v>0</v>
      </c>
      <c r="E9" s="61">
        <f t="shared" si="4"/>
        <v>0</v>
      </c>
      <c r="F9" s="61">
        <f t="shared" si="4"/>
        <v>0</v>
      </c>
      <c r="G9" s="60">
        <f t="shared" si="4"/>
        <v>0</v>
      </c>
      <c r="H9" s="61">
        <f t="shared" si="4"/>
        <v>0</v>
      </c>
      <c r="I9" s="61">
        <f t="shared" si="4"/>
        <v>0</v>
      </c>
      <c r="J9" s="62">
        <f t="shared" si="4"/>
        <v>1654</v>
      </c>
      <c r="K9" s="60">
        <f t="shared" si="4"/>
        <v>3775.2</v>
      </c>
      <c r="L9" s="61">
        <f t="shared" si="4"/>
        <v>3439.1</v>
      </c>
      <c r="M9" s="61">
        <f t="shared" si="4"/>
        <v>3348.9</v>
      </c>
      <c r="N9" s="62">
        <f t="shared" si="4"/>
        <v>3261.9</v>
      </c>
      <c r="O9" s="60">
        <f t="shared" si="4"/>
        <v>3147.9</v>
      </c>
      <c r="P9" s="61">
        <f t="shared" si="4"/>
        <v>3447.7</v>
      </c>
      <c r="Q9" s="61">
        <f t="shared" si="4"/>
        <v>3425.1</v>
      </c>
      <c r="R9" s="62">
        <f t="shared" si="4"/>
        <v>3268.5</v>
      </c>
      <c r="S9" s="60">
        <f t="shared" si="4"/>
        <v>3215.6</v>
      </c>
      <c r="T9" s="61">
        <f t="shared" si="4"/>
        <v>3189</v>
      </c>
      <c r="U9" s="61">
        <f t="shared" si="4"/>
        <v>3786.2</v>
      </c>
      <c r="V9" s="62">
        <f t="shared" si="4"/>
        <v>3872.6</v>
      </c>
      <c r="W9" s="61">
        <f t="shared" si="4"/>
        <v>3680.7</v>
      </c>
      <c r="X9" s="61">
        <f t="shared" si="4"/>
        <v>3758.2</v>
      </c>
    </row>
    <row r="10" spans="1:24" s="10" customFormat="1" x14ac:dyDescent="0.2">
      <c r="A10" s="97" t="s">
        <v>390</v>
      </c>
      <c r="B10" s="97" t="s">
        <v>136</v>
      </c>
      <c r="C10" s="42">
        <f>SUM(C31)</f>
        <v>0</v>
      </c>
      <c r="D10" s="43">
        <f t="shared" ref="D10:X10" si="5">SUM(D31)</f>
        <v>0</v>
      </c>
      <c r="E10" s="43">
        <f t="shared" si="5"/>
        <v>0</v>
      </c>
      <c r="F10" s="43">
        <f t="shared" si="5"/>
        <v>0</v>
      </c>
      <c r="G10" s="42">
        <f t="shared" si="5"/>
        <v>0</v>
      </c>
      <c r="H10" s="43">
        <f t="shared" si="5"/>
        <v>802.6</v>
      </c>
      <c r="I10" s="43">
        <f t="shared" si="5"/>
        <v>71</v>
      </c>
      <c r="J10" s="44">
        <f t="shared" si="5"/>
        <v>158.1</v>
      </c>
      <c r="K10" s="42">
        <f t="shared" si="5"/>
        <v>169</v>
      </c>
      <c r="L10" s="43">
        <f t="shared" si="5"/>
        <v>654.70000000000005</v>
      </c>
      <c r="M10" s="43">
        <f t="shared" si="5"/>
        <v>214.8</v>
      </c>
      <c r="N10" s="44">
        <f t="shared" si="5"/>
        <v>626.70000000000005</v>
      </c>
      <c r="O10" s="42">
        <f t="shared" si="5"/>
        <v>186.3</v>
      </c>
      <c r="P10" s="43">
        <f t="shared" si="5"/>
        <v>128.1</v>
      </c>
      <c r="Q10" s="43">
        <f t="shared" si="5"/>
        <v>90.8</v>
      </c>
      <c r="R10" s="44">
        <f t="shared" si="5"/>
        <v>0</v>
      </c>
      <c r="S10" s="42">
        <f t="shared" si="5"/>
        <v>39.5</v>
      </c>
      <c r="T10" s="43">
        <f t="shared" si="5"/>
        <v>80.7</v>
      </c>
      <c r="U10" s="43">
        <f t="shared" si="5"/>
        <v>90.1</v>
      </c>
      <c r="V10" s="44">
        <f t="shared" si="5"/>
        <v>0</v>
      </c>
      <c r="W10" s="43">
        <f t="shared" si="5"/>
        <v>78.599999999999994</v>
      </c>
      <c r="X10" s="43">
        <f t="shared" si="5"/>
        <v>0</v>
      </c>
    </row>
    <row r="11" spans="1:24" s="10" customFormat="1" x14ac:dyDescent="0.2">
      <c r="A11" s="99" t="s">
        <v>391</v>
      </c>
      <c r="B11" s="99" t="s">
        <v>137</v>
      </c>
      <c r="C11" s="42">
        <f t="shared" ref="C11:X11" si="6">SUM(C32,C50,C70)</f>
        <v>95.100000000000009</v>
      </c>
      <c r="D11" s="43">
        <f t="shared" si="6"/>
        <v>103.89999999999999</v>
      </c>
      <c r="E11" s="43">
        <f t="shared" si="6"/>
        <v>101.00000000000001</v>
      </c>
      <c r="F11" s="43">
        <f t="shared" si="6"/>
        <v>153.6</v>
      </c>
      <c r="G11" s="42">
        <f t="shared" si="6"/>
        <v>159.1</v>
      </c>
      <c r="H11" s="43">
        <f t="shared" si="6"/>
        <v>158.5</v>
      </c>
      <c r="I11" s="43">
        <f t="shared" si="6"/>
        <v>224.1</v>
      </c>
      <c r="J11" s="44">
        <f t="shared" si="6"/>
        <v>134.9</v>
      </c>
      <c r="K11" s="42">
        <f t="shared" si="6"/>
        <v>155</v>
      </c>
      <c r="L11" s="43">
        <f t="shared" si="6"/>
        <v>163.29999999999998</v>
      </c>
      <c r="M11" s="43">
        <f t="shared" si="6"/>
        <v>162.4</v>
      </c>
      <c r="N11" s="44">
        <f t="shared" si="6"/>
        <v>224.10000000000002</v>
      </c>
      <c r="O11" s="42">
        <f t="shared" si="6"/>
        <v>183.9</v>
      </c>
      <c r="P11" s="43">
        <f t="shared" si="6"/>
        <v>187.6</v>
      </c>
      <c r="Q11" s="43">
        <f t="shared" si="6"/>
        <v>179.39999999999998</v>
      </c>
      <c r="R11" s="44">
        <f t="shared" si="6"/>
        <v>147.70000000000002</v>
      </c>
      <c r="S11" s="42">
        <f t="shared" si="6"/>
        <v>214.29999999999998</v>
      </c>
      <c r="T11" s="43">
        <f t="shared" si="6"/>
        <v>212.90000000000003</v>
      </c>
      <c r="U11" s="43">
        <f t="shared" si="6"/>
        <v>178.79999999999998</v>
      </c>
      <c r="V11" s="44">
        <f t="shared" si="6"/>
        <v>105.1</v>
      </c>
      <c r="W11" s="43">
        <f t="shared" si="6"/>
        <v>127.4</v>
      </c>
      <c r="X11" s="43">
        <f t="shared" si="6"/>
        <v>116.7</v>
      </c>
    </row>
    <row r="12" spans="1:24" s="348" customFormat="1" ht="12" x14ac:dyDescent="0.2">
      <c r="A12" s="9" t="s">
        <v>392</v>
      </c>
      <c r="B12" s="9" t="s">
        <v>138</v>
      </c>
      <c r="C12" s="345">
        <f>C5+C6+C7+C8+C10+C11</f>
        <v>14457.1</v>
      </c>
      <c r="D12" s="346">
        <f t="shared" ref="D12:X12" si="7">D5+D6+D7+D8+D10+D11</f>
        <v>15195.2</v>
      </c>
      <c r="E12" s="346">
        <f t="shared" si="7"/>
        <v>16006.499999999998</v>
      </c>
      <c r="F12" s="346">
        <f t="shared" si="7"/>
        <v>16940.499999999996</v>
      </c>
      <c r="G12" s="345">
        <f t="shared" si="7"/>
        <v>18613.199999999997</v>
      </c>
      <c r="H12" s="346">
        <f t="shared" si="7"/>
        <v>20775.400000000001</v>
      </c>
      <c r="I12" s="346">
        <f t="shared" si="7"/>
        <v>22400.799999999999</v>
      </c>
      <c r="J12" s="347">
        <f t="shared" si="7"/>
        <v>26245</v>
      </c>
      <c r="K12" s="345">
        <f t="shared" si="7"/>
        <v>29713.7</v>
      </c>
      <c r="L12" s="346">
        <f t="shared" si="7"/>
        <v>30033.7</v>
      </c>
      <c r="M12" s="346">
        <f t="shared" si="7"/>
        <v>29860</v>
      </c>
      <c r="N12" s="347">
        <f t="shared" si="7"/>
        <v>31474.099999999995</v>
      </c>
      <c r="O12" s="345">
        <f t="shared" si="7"/>
        <v>31094.400000000001</v>
      </c>
      <c r="P12" s="346">
        <f t="shared" si="7"/>
        <v>32757.799999999996</v>
      </c>
      <c r="Q12" s="346">
        <f t="shared" si="7"/>
        <v>34362.9</v>
      </c>
      <c r="R12" s="347">
        <f t="shared" si="7"/>
        <v>35594.399999999994</v>
      </c>
      <c r="S12" s="345">
        <f t="shared" si="7"/>
        <v>36458</v>
      </c>
      <c r="T12" s="346">
        <f t="shared" si="7"/>
        <v>38237</v>
      </c>
      <c r="U12" s="346">
        <f t="shared" si="7"/>
        <v>40974.199999999997</v>
      </c>
      <c r="V12" s="347">
        <f t="shared" si="7"/>
        <v>43443.7</v>
      </c>
      <c r="W12" s="346">
        <f t="shared" si="7"/>
        <v>48992.6</v>
      </c>
      <c r="X12" s="346">
        <f t="shared" si="7"/>
        <v>49782.399999999994</v>
      </c>
    </row>
    <row r="13" spans="1:24" s="10" customFormat="1" x14ac:dyDescent="0.2">
      <c r="A13" s="97" t="s">
        <v>393</v>
      </c>
      <c r="B13" s="97" t="s">
        <v>139</v>
      </c>
      <c r="C13" s="42">
        <f>SUM(C14:C18)</f>
        <v>-674.50000000000011</v>
      </c>
      <c r="D13" s="43">
        <f t="shared" ref="D13:X13" si="8">SUM(D14:D18)</f>
        <v>-628.00000000000011</v>
      </c>
      <c r="E13" s="43">
        <f t="shared" si="8"/>
        <v>-557.09999999999991</v>
      </c>
      <c r="F13" s="43">
        <f t="shared" si="8"/>
        <v>-561.40000000000009</v>
      </c>
      <c r="G13" s="42">
        <f t="shared" si="8"/>
        <v>-573.29999999999995</v>
      </c>
      <c r="H13" s="43">
        <f t="shared" si="8"/>
        <v>-403.4</v>
      </c>
      <c r="I13" s="43">
        <f t="shared" si="8"/>
        <v>-414.00000000000006</v>
      </c>
      <c r="J13" s="44">
        <f t="shared" si="8"/>
        <v>-502.2</v>
      </c>
      <c r="K13" s="42">
        <f t="shared" si="8"/>
        <v>-673.40000000000009</v>
      </c>
      <c r="L13" s="43">
        <f t="shared" si="8"/>
        <v>-765.09999999999991</v>
      </c>
      <c r="M13" s="43">
        <f t="shared" si="8"/>
        <v>-810</v>
      </c>
      <c r="N13" s="44">
        <f t="shared" si="8"/>
        <v>-881.3</v>
      </c>
      <c r="O13" s="42">
        <f t="shared" si="8"/>
        <v>-934.80000000000007</v>
      </c>
      <c r="P13" s="43">
        <f t="shared" si="8"/>
        <v>-976.60000000000014</v>
      </c>
      <c r="Q13" s="43">
        <f t="shared" si="8"/>
        <v>-1042.3</v>
      </c>
      <c r="R13" s="44">
        <f t="shared" si="8"/>
        <v>-1085.4000000000001</v>
      </c>
      <c r="S13" s="42">
        <f t="shared" si="8"/>
        <v>-1125.5999999999999</v>
      </c>
      <c r="T13" s="43">
        <f t="shared" si="8"/>
        <v>-1142.2</v>
      </c>
      <c r="U13" s="43">
        <f t="shared" si="8"/>
        <v>-1184.5</v>
      </c>
      <c r="V13" s="44">
        <f t="shared" si="8"/>
        <v>-1114</v>
      </c>
      <c r="W13" s="43">
        <f t="shared" si="8"/>
        <v>-1196.7</v>
      </c>
      <c r="X13" s="43">
        <f t="shared" si="8"/>
        <v>-1291.8</v>
      </c>
    </row>
    <row r="14" spans="1:24" s="73" customFormat="1" x14ac:dyDescent="0.2">
      <c r="A14" s="126" t="s">
        <v>394</v>
      </c>
      <c r="B14" s="126" t="s">
        <v>140</v>
      </c>
      <c r="C14" s="60">
        <f t="shared" ref="C14:X14" si="9">SUM(C35,C53,C54,C73)</f>
        <v>-648.30000000000007</v>
      </c>
      <c r="D14" s="61">
        <f t="shared" si="9"/>
        <v>-602.30000000000007</v>
      </c>
      <c r="E14" s="61">
        <f t="shared" si="9"/>
        <v>-532.19999999999993</v>
      </c>
      <c r="F14" s="61">
        <f t="shared" si="9"/>
        <v>-536.90000000000009</v>
      </c>
      <c r="G14" s="60">
        <f t="shared" si="9"/>
        <v>-548.59999999999991</v>
      </c>
      <c r="H14" s="61">
        <f t="shared" si="9"/>
        <v>-392.79999999999995</v>
      </c>
      <c r="I14" s="61">
        <f t="shared" si="9"/>
        <v>-403.3</v>
      </c>
      <c r="J14" s="62">
        <f t="shared" si="9"/>
        <v>-491.2</v>
      </c>
      <c r="K14" s="60">
        <f t="shared" si="9"/>
        <v>-661.30000000000007</v>
      </c>
      <c r="L14" s="61">
        <f t="shared" si="9"/>
        <v>-753.19999999999993</v>
      </c>
      <c r="M14" s="61">
        <f t="shared" si="9"/>
        <v>-797.6</v>
      </c>
      <c r="N14" s="62">
        <f t="shared" si="9"/>
        <v>-868.19999999999993</v>
      </c>
      <c r="O14" s="60">
        <f t="shared" si="9"/>
        <v>-920.7</v>
      </c>
      <c r="P14" s="61">
        <f t="shared" si="9"/>
        <v>-962.20000000000016</v>
      </c>
      <c r="Q14" s="61">
        <f t="shared" si="9"/>
        <v>-1031.7</v>
      </c>
      <c r="R14" s="62">
        <f t="shared" si="9"/>
        <v>-1077.9000000000001</v>
      </c>
      <c r="S14" s="60">
        <f t="shared" si="9"/>
        <v>-1118.0999999999999</v>
      </c>
      <c r="T14" s="61">
        <f t="shared" si="9"/>
        <v>-1134.5</v>
      </c>
      <c r="U14" s="61">
        <f t="shared" si="9"/>
        <v>-1175.8</v>
      </c>
      <c r="V14" s="62">
        <f t="shared" si="9"/>
        <v>-1105.5999999999999</v>
      </c>
      <c r="W14" s="61">
        <f t="shared" si="9"/>
        <v>-1121.1000000000001</v>
      </c>
      <c r="X14" s="61">
        <f t="shared" si="9"/>
        <v>-1186.4000000000001</v>
      </c>
    </row>
    <row r="15" spans="1:24" s="73" customFormat="1" x14ac:dyDescent="0.2">
      <c r="A15" s="126" t="s">
        <v>395</v>
      </c>
      <c r="B15" s="126" t="s">
        <v>141</v>
      </c>
      <c r="C15" s="60">
        <f t="shared" ref="C15:W15" si="10">SUM(C36,C55)</f>
        <v>0</v>
      </c>
      <c r="D15" s="61">
        <f t="shared" si="10"/>
        <v>0</v>
      </c>
      <c r="E15" s="61">
        <f t="shared" si="10"/>
        <v>0</v>
      </c>
      <c r="F15" s="61">
        <f t="shared" si="10"/>
        <v>0</v>
      </c>
      <c r="G15" s="60">
        <f t="shared" si="10"/>
        <v>0</v>
      </c>
      <c r="H15" s="61">
        <f t="shared" si="10"/>
        <v>0</v>
      </c>
      <c r="I15" s="61">
        <f t="shared" si="10"/>
        <v>0</v>
      </c>
      <c r="J15" s="62">
        <f t="shared" si="10"/>
        <v>0</v>
      </c>
      <c r="K15" s="60">
        <f t="shared" si="10"/>
        <v>0</v>
      </c>
      <c r="L15" s="61">
        <f t="shared" si="10"/>
        <v>0</v>
      </c>
      <c r="M15" s="61">
        <f t="shared" si="10"/>
        <v>0</v>
      </c>
      <c r="N15" s="62">
        <f t="shared" si="10"/>
        <v>0</v>
      </c>
      <c r="O15" s="60">
        <f t="shared" si="10"/>
        <v>0</v>
      </c>
      <c r="P15" s="61">
        <f t="shared" si="10"/>
        <v>0</v>
      </c>
      <c r="Q15" s="61">
        <f t="shared" si="10"/>
        <v>0</v>
      </c>
      <c r="R15" s="62">
        <f t="shared" si="10"/>
        <v>0</v>
      </c>
      <c r="S15" s="60">
        <f t="shared" si="10"/>
        <v>0</v>
      </c>
      <c r="T15" s="61">
        <f t="shared" si="10"/>
        <v>0</v>
      </c>
      <c r="U15" s="61">
        <f t="shared" si="10"/>
        <v>0</v>
      </c>
      <c r="V15" s="62">
        <f t="shared" si="10"/>
        <v>0</v>
      </c>
      <c r="W15" s="61">
        <f t="shared" si="10"/>
        <v>-62.7</v>
      </c>
      <c r="X15" s="61">
        <f>SUM(X36,X55)</f>
        <v>-61.8</v>
      </c>
    </row>
    <row r="16" spans="1:24" s="73" customFormat="1" x14ac:dyDescent="0.2">
      <c r="A16" s="126" t="s">
        <v>396</v>
      </c>
      <c r="B16" s="126" t="s">
        <v>142</v>
      </c>
      <c r="C16" s="60">
        <f t="shared" ref="C16:X18" si="11">SUM(C56)</f>
        <v>-2.5999999999999996</v>
      </c>
      <c r="D16" s="61">
        <f t="shared" si="11"/>
        <v>-2.5999999999999996</v>
      </c>
      <c r="E16" s="61">
        <f t="shared" si="11"/>
        <v>-2.4</v>
      </c>
      <c r="F16" s="61">
        <f t="shared" si="11"/>
        <v>-2.4000000000000004</v>
      </c>
      <c r="G16" s="60">
        <f t="shared" si="11"/>
        <v>-2.6</v>
      </c>
      <c r="H16" s="61">
        <f t="shared" si="11"/>
        <v>-1.9</v>
      </c>
      <c r="I16" s="61">
        <f t="shared" si="11"/>
        <v>-2.1</v>
      </c>
      <c r="J16" s="62">
        <f t="shared" si="11"/>
        <v>-2.4</v>
      </c>
      <c r="K16" s="60">
        <f t="shared" si="11"/>
        <v>-3.5</v>
      </c>
      <c r="L16" s="61">
        <f t="shared" si="11"/>
        <v>-2.8</v>
      </c>
      <c r="M16" s="61">
        <f t="shared" si="11"/>
        <v>-2.9</v>
      </c>
      <c r="N16" s="62">
        <f t="shared" si="11"/>
        <v>-2.5</v>
      </c>
      <c r="O16" s="60">
        <f t="shared" si="11"/>
        <v>-2.2000000000000002</v>
      </c>
      <c r="P16" s="61">
        <f t="shared" si="11"/>
        <v>-2.5</v>
      </c>
      <c r="Q16" s="61">
        <f t="shared" si="11"/>
        <v>-2.2999999999999998</v>
      </c>
      <c r="R16" s="62">
        <f t="shared" si="11"/>
        <v>-2.1</v>
      </c>
      <c r="S16" s="60">
        <f t="shared" si="11"/>
        <v>-2.1</v>
      </c>
      <c r="T16" s="61">
        <f t="shared" si="11"/>
        <v>-2.2999999999999998</v>
      </c>
      <c r="U16" s="61">
        <f t="shared" si="11"/>
        <v>-3.2</v>
      </c>
      <c r="V16" s="62">
        <f t="shared" si="11"/>
        <v>-3</v>
      </c>
      <c r="W16" s="61">
        <f t="shared" si="11"/>
        <v>-7.6</v>
      </c>
      <c r="X16" s="61">
        <f t="shared" si="11"/>
        <v>-6.1</v>
      </c>
    </row>
    <row r="17" spans="1:24" s="73" customFormat="1" x14ac:dyDescent="0.2">
      <c r="A17" s="126" t="s">
        <v>397</v>
      </c>
      <c r="B17" s="126" t="s">
        <v>143</v>
      </c>
      <c r="C17" s="60">
        <f t="shared" si="11"/>
        <v>-15</v>
      </c>
      <c r="D17" s="61">
        <f t="shared" si="11"/>
        <v>-14.5</v>
      </c>
      <c r="E17" s="61">
        <f t="shared" si="11"/>
        <v>-13.9</v>
      </c>
      <c r="F17" s="61">
        <f t="shared" si="11"/>
        <v>-13.5</v>
      </c>
      <c r="G17" s="60">
        <f t="shared" si="11"/>
        <v>-13.5</v>
      </c>
      <c r="H17" s="61">
        <f t="shared" si="11"/>
        <v>-0.1</v>
      </c>
      <c r="I17" s="61">
        <f t="shared" si="11"/>
        <v>0</v>
      </c>
      <c r="J17" s="62">
        <f t="shared" si="11"/>
        <v>0</v>
      </c>
      <c r="K17" s="60">
        <f t="shared" si="11"/>
        <v>0</v>
      </c>
      <c r="L17" s="61">
        <f t="shared" si="11"/>
        <v>-0.5</v>
      </c>
      <c r="M17" s="61">
        <f t="shared" si="11"/>
        <v>-0.9</v>
      </c>
      <c r="N17" s="62">
        <f t="shared" si="11"/>
        <v>-2</v>
      </c>
      <c r="O17" s="60">
        <f t="shared" si="11"/>
        <v>-3.3</v>
      </c>
      <c r="P17" s="61">
        <f t="shared" si="11"/>
        <v>-3.3</v>
      </c>
      <c r="Q17" s="61">
        <f t="shared" si="11"/>
        <v>-3.1</v>
      </c>
      <c r="R17" s="62">
        <f t="shared" si="11"/>
        <v>-0.2</v>
      </c>
      <c r="S17" s="60">
        <f t="shared" si="11"/>
        <v>-0.2</v>
      </c>
      <c r="T17" s="61">
        <f t="shared" si="11"/>
        <v>-0.2</v>
      </c>
      <c r="U17" s="61">
        <f t="shared" si="11"/>
        <v>-0.3</v>
      </c>
      <c r="V17" s="62">
        <f t="shared" si="11"/>
        <v>-0.2</v>
      </c>
      <c r="W17" s="61">
        <f t="shared" si="11"/>
        <v>-0.2</v>
      </c>
      <c r="X17" s="61">
        <f t="shared" si="11"/>
        <v>-32.299999999999997</v>
      </c>
    </row>
    <row r="18" spans="1:24" s="73" customFormat="1" x14ac:dyDescent="0.2">
      <c r="A18" s="136" t="s">
        <v>398</v>
      </c>
      <c r="B18" s="136" t="s">
        <v>144</v>
      </c>
      <c r="C18" s="60">
        <f t="shared" si="11"/>
        <v>-8.6</v>
      </c>
      <c r="D18" s="61">
        <f t="shared" si="11"/>
        <v>-8.6</v>
      </c>
      <c r="E18" s="61">
        <f t="shared" si="11"/>
        <v>-8.6</v>
      </c>
      <c r="F18" s="61">
        <f t="shared" si="11"/>
        <v>-8.6</v>
      </c>
      <c r="G18" s="60">
        <f t="shared" si="11"/>
        <v>-8.6</v>
      </c>
      <c r="H18" s="61">
        <f t="shared" si="11"/>
        <v>-8.6</v>
      </c>
      <c r="I18" s="61">
        <f t="shared" si="11"/>
        <v>-8.6</v>
      </c>
      <c r="J18" s="62">
        <f t="shared" si="11"/>
        <v>-8.6</v>
      </c>
      <c r="K18" s="60">
        <f t="shared" si="11"/>
        <v>-8.6</v>
      </c>
      <c r="L18" s="61">
        <f t="shared" si="11"/>
        <v>-8.6</v>
      </c>
      <c r="M18" s="61">
        <f t="shared" si="11"/>
        <v>-8.6</v>
      </c>
      <c r="N18" s="62">
        <f t="shared" si="11"/>
        <v>-8.6</v>
      </c>
      <c r="O18" s="60">
        <f t="shared" si="11"/>
        <v>-8.6</v>
      </c>
      <c r="P18" s="61">
        <f t="shared" si="11"/>
        <v>-8.6</v>
      </c>
      <c r="Q18" s="61">
        <f t="shared" si="11"/>
        <v>-5.2</v>
      </c>
      <c r="R18" s="62">
        <f t="shared" si="11"/>
        <v>-5.2</v>
      </c>
      <c r="S18" s="60">
        <f t="shared" si="11"/>
        <v>-5.2</v>
      </c>
      <c r="T18" s="61">
        <f t="shared" si="11"/>
        <v>-5.2</v>
      </c>
      <c r="U18" s="61">
        <f t="shared" si="11"/>
        <v>-5.2</v>
      </c>
      <c r="V18" s="62">
        <f t="shared" si="11"/>
        <v>-5.2</v>
      </c>
      <c r="W18" s="61">
        <f t="shared" si="11"/>
        <v>-5.0999999999999996</v>
      </c>
      <c r="X18" s="61">
        <f t="shared" si="11"/>
        <v>-5.2</v>
      </c>
    </row>
    <row r="19" spans="1:24" s="344" customFormat="1" ht="21.6" customHeight="1" x14ac:dyDescent="0.2">
      <c r="A19" s="172" t="s">
        <v>399</v>
      </c>
      <c r="B19" s="172" t="s">
        <v>156</v>
      </c>
      <c r="C19" s="341">
        <f>C12+C13</f>
        <v>13782.6</v>
      </c>
      <c r="D19" s="342">
        <f t="shared" ref="D19:X19" si="12">D12+D13</f>
        <v>14567.2</v>
      </c>
      <c r="E19" s="342">
        <f t="shared" si="12"/>
        <v>15449.399999999998</v>
      </c>
      <c r="F19" s="342">
        <f t="shared" si="12"/>
        <v>16379.099999999997</v>
      </c>
      <c r="G19" s="341">
        <f t="shared" si="12"/>
        <v>18039.899999999998</v>
      </c>
      <c r="H19" s="342">
        <f t="shared" si="12"/>
        <v>20372</v>
      </c>
      <c r="I19" s="342">
        <f t="shared" si="12"/>
        <v>21986.799999999999</v>
      </c>
      <c r="J19" s="343">
        <f t="shared" si="12"/>
        <v>25742.799999999999</v>
      </c>
      <c r="K19" s="341">
        <f t="shared" si="12"/>
        <v>29040.3</v>
      </c>
      <c r="L19" s="342">
        <f t="shared" si="12"/>
        <v>29268.600000000002</v>
      </c>
      <c r="M19" s="342">
        <f t="shared" si="12"/>
        <v>29050</v>
      </c>
      <c r="N19" s="343">
        <f t="shared" si="12"/>
        <v>30592.799999999996</v>
      </c>
      <c r="O19" s="341">
        <f t="shared" si="12"/>
        <v>30159.600000000002</v>
      </c>
      <c r="P19" s="342">
        <f t="shared" si="12"/>
        <v>31781.199999999997</v>
      </c>
      <c r="Q19" s="342">
        <f t="shared" si="12"/>
        <v>33320.6</v>
      </c>
      <c r="R19" s="343">
        <f t="shared" si="12"/>
        <v>34508.999999999993</v>
      </c>
      <c r="S19" s="341">
        <f t="shared" si="12"/>
        <v>35332.400000000001</v>
      </c>
      <c r="T19" s="342">
        <f t="shared" si="12"/>
        <v>37094.800000000003</v>
      </c>
      <c r="U19" s="342">
        <f t="shared" si="12"/>
        <v>39789.699999999997</v>
      </c>
      <c r="V19" s="343">
        <f t="shared" si="12"/>
        <v>42329.7</v>
      </c>
      <c r="W19" s="342">
        <f t="shared" si="12"/>
        <v>47795.9</v>
      </c>
      <c r="X19" s="342">
        <f t="shared" si="12"/>
        <v>48490.599999999991</v>
      </c>
    </row>
    <row r="20" spans="1:24" ht="22.5" x14ac:dyDescent="0.2">
      <c r="A20" s="137" t="s">
        <v>520</v>
      </c>
      <c r="B20" s="137" t="s">
        <v>157</v>
      </c>
      <c r="C20" s="42">
        <f>SUM(C37)</f>
        <v>2250.1000000000004</v>
      </c>
      <c r="D20" s="43">
        <f t="shared" ref="D20:X20" si="13">SUM(D37)</f>
        <v>2122.5</v>
      </c>
      <c r="E20" s="43">
        <f t="shared" si="13"/>
        <v>2125.6999999999998</v>
      </c>
      <c r="F20" s="43">
        <f t="shared" si="13"/>
        <v>2336.7999999999997</v>
      </c>
      <c r="G20" s="42">
        <f t="shared" si="13"/>
        <v>2551.2000000000003</v>
      </c>
      <c r="H20" s="43">
        <f t="shared" si="13"/>
        <v>3504.7999999999997</v>
      </c>
      <c r="I20" s="43">
        <f t="shared" si="13"/>
        <v>3140.0000000000005</v>
      </c>
      <c r="J20" s="44">
        <f t="shared" si="13"/>
        <v>3179.3999999999996</v>
      </c>
      <c r="K20" s="42">
        <f t="shared" si="13"/>
        <v>3137.2000000000003</v>
      </c>
      <c r="L20" s="43">
        <f t="shared" si="13"/>
        <v>3487.9999999999995</v>
      </c>
      <c r="M20" s="43">
        <f t="shared" si="13"/>
        <v>3024.3000000000006</v>
      </c>
      <c r="N20" s="44">
        <f t="shared" si="13"/>
        <v>3321.9</v>
      </c>
      <c r="O20" s="42">
        <f t="shared" si="13"/>
        <v>2699.3</v>
      </c>
      <c r="P20" s="43">
        <f t="shared" si="13"/>
        <v>2676</v>
      </c>
      <c r="Q20" s="43">
        <f t="shared" si="13"/>
        <v>2670.9</v>
      </c>
      <c r="R20" s="44">
        <f t="shared" si="13"/>
        <v>2666.2999999999997</v>
      </c>
      <c r="S20" s="42">
        <f t="shared" si="13"/>
        <v>2704.3999999999996</v>
      </c>
      <c r="T20" s="43">
        <f t="shared" si="13"/>
        <v>2949.4</v>
      </c>
      <c r="U20" s="43">
        <f t="shared" si="13"/>
        <v>2963.2999999999997</v>
      </c>
      <c r="V20" s="44">
        <f t="shared" si="13"/>
        <v>2908.8999999999996</v>
      </c>
      <c r="W20" s="43">
        <f t="shared" si="13"/>
        <v>1327.5</v>
      </c>
      <c r="X20" s="43">
        <f t="shared" si="13"/>
        <v>1377.1000000000001</v>
      </c>
    </row>
    <row r="21" spans="1:24" x14ac:dyDescent="0.2">
      <c r="A21" s="99" t="s">
        <v>521</v>
      </c>
      <c r="B21" s="99" t="s">
        <v>158</v>
      </c>
      <c r="C21" s="42">
        <f>SUM(C59)</f>
        <v>10936.400000000001</v>
      </c>
      <c r="D21" s="43">
        <f t="shared" ref="D21:X21" si="14">SUM(D59)</f>
        <v>11871.6</v>
      </c>
      <c r="E21" s="43">
        <f t="shared" si="14"/>
        <v>12740.500000000002</v>
      </c>
      <c r="F21" s="43">
        <f t="shared" si="14"/>
        <v>13374.599999999999</v>
      </c>
      <c r="G21" s="42">
        <f t="shared" si="14"/>
        <v>14847.1</v>
      </c>
      <c r="H21" s="43">
        <f t="shared" si="14"/>
        <v>16219.1</v>
      </c>
      <c r="I21" s="43">
        <f t="shared" si="14"/>
        <v>18175.900000000001</v>
      </c>
      <c r="J21" s="44">
        <f t="shared" si="14"/>
        <v>19872.300000000003</v>
      </c>
      <c r="K21" s="42">
        <f t="shared" si="14"/>
        <v>21133</v>
      </c>
      <c r="L21" s="43">
        <f t="shared" si="14"/>
        <v>21306.3</v>
      </c>
      <c r="M21" s="43">
        <f t="shared" si="14"/>
        <v>21405.799999999996</v>
      </c>
      <c r="N21" s="44">
        <f t="shared" si="14"/>
        <v>21370.2</v>
      </c>
      <c r="O21" s="42">
        <f t="shared" si="14"/>
        <v>21705.399999999998</v>
      </c>
      <c r="P21" s="43">
        <f t="shared" si="14"/>
        <v>22864.800000000003</v>
      </c>
      <c r="Q21" s="43">
        <f t="shared" si="14"/>
        <v>24292.400000000001</v>
      </c>
      <c r="R21" s="44">
        <f t="shared" si="14"/>
        <v>25223.800000000003</v>
      </c>
      <c r="S21" s="42">
        <f t="shared" si="14"/>
        <v>26088.6</v>
      </c>
      <c r="T21" s="43">
        <f t="shared" si="14"/>
        <v>27686.600000000002</v>
      </c>
      <c r="U21" s="43">
        <f t="shared" si="14"/>
        <v>29593.499999999996</v>
      </c>
      <c r="V21" s="44">
        <f t="shared" si="14"/>
        <v>31635.799999999996</v>
      </c>
      <c r="W21" s="43">
        <f t="shared" si="14"/>
        <v>38737.599999999991</v>
      </c>
      <c r="X21" s="43">
        <f t="shared" si="14"/>
        <v>39331.9</v>
      </c>
    </row>
    <row r="22" spans="1:24" ht="22.5" x14ac:dyDescent="0.2">
      <c r="A22" s="99" t="s">
        <v>522</v>
      </c>
      <c r="B22" s="99" t="s">
        <v>159</v>
      </c>
      <c r="C22" s="42">
        <f>SUM(C74)</f>
        <v>596.1</v>
      </c>
      <c r="D22" s="43">
        <f t="shared" ref="D22:X22" si="15">SUM(D74)</f>
        <v>573.1</v>
      </c>
      <c r="E22" s="43">
        <f t="shared" si="15"/>
        <v>583.20000000000005</v>
      </c>
      <c r="F22" s="43">
        <f t="shared" si="15"/>
        <v>667.69999999999993</v>
      </c>
      <c r="G22" s="42">
        <f t="shared" si="15"/>
        <v>641.6</v>
      </c>
      <c r="H22" s="43">
        <f t="shared" si="15"/>
        <v>648.1</v>
      </c>
      <c r="I22" s="43">
        <f t="shared" si="15"/>
        <v>670.9</v>
      </c>
      <c r="J22" s="44">
        <f t="shared" si="15"/>
        <v>2691.1</v>
      </c>
      <c r="K22" s="42">
        <f t="shared" si="15"/>
        <v>4770.1000000000004</v>
      </c>
      <c r="L22" s="43">
        <f t="shared" si="15"/>
        <v>4474.3</v>
      </c>
      <c r="M22" s="43">
        <f t="shared" si="15"/>
        <v>4619.9000000000005</v>
      </c>
      <c r="N22" s="44">
        <f t="shared" si="15"/>
        <v>5900.7000000000007</v>
      </c>
      <c r="O22" s="42">
        <f t="shared" si="15"/>
        <v>5754.9000000000005</v>
      </c>
      <c r="P22" s="43">
        <f t="shared" si="15"/>
        <v>6240.4000000000005</v>
      </c>
      <c r="Q22" s="43">
        <f t="shared" si="15"/>
        <v>6357.2999999999993</v>
      </c>
      <c r="R22" s="44">
        <f t="shared" si="15"/>
        <v>6618.9000000000005</v>
      </c>
      <c r="S22" s="42">
        <f t="shared" si="15"/>
        <v>6539.4</v>
      </c>
      <c r="T22" s="43">
        <f t="shared" si="15"/>
        <v>6458.8</v>
      </c>
      <c r="U22" s="43">
        <f t="shared" si="15"/>
        <v>7232.9000000000005</v>
      </c>
      <c r="V22" s="44">
        <f t="shared" si="15"/>
        <v>7785</v>
      </c>
      <c r="W22" s="43">
        <f t="shared" si="15"/>
        <v>7730.8</v>
      </c>
      <c r="X22" s="43">
        <f t="shared" si="15"/>
        <v>7781.6</v>
      </c>
    </row>
    <row r="23" spans="1:24" x14ac:dyDescent="0.2">
      <c r="A23" s="99"/>
      <c r="B23" s="99"/>
      <c r="C23" s="42"/>
      <c r="D23" s="43"/>
      <c r="E23" s="43"/>
      <c r="F23" s="43"/>
      <c r="G23" s="42"/>
      <c r="H23" s="43"/>
      <c r="I23" s="43"/>
      <c r="J23" s="44"/>
      <c r="K23" s="42"/>
      <c r="L23" s="43"/>
      <c r="M23" s="43"/>
      <c r="N23" s="44"/>
      <c r="O23" s="42"/>
      <c r="P23" s="43"/>
      <c r="Q23" s="43"/>
      <c r="R23" s="44"/>
      <c r="S23" s="42"/>
      <c r="T23" s="43"/>
      <c r="U23" s="43"/>
      <c r="V23" s="44"/>
      <c r="W23" s="43"/>
      <c r="X23" s="43"/>
    </row>
    <row r="24" spans="1:24" s="13" customFormat="1" ht="12" x14ac:dyDescent="0.2">
      <c r="A24" s="337" t="s">
        <v>400</v>
      </c>
      <c r="B24" s="337" t="s">
        <v>145</v>
      </c>
      <c r="C24" s="338"/>
      <c r="D24" s="339"/>
      <c r="E24" s="339"/>
      <c r="F24" s="339"/>
      <c r="G24" s="338"/>
      <c r="H24" s="339"/>
      <c r="I24" s="339"/>
      <c r="J24" s="340"/>
      <c r="K24" s="338"/>
      <c r="L24" s="339"/>
      <c r="M24" s="339"/>
      <c r="N24" s="340"/>
      <c r="O24" s="338"/>
      <c r="P24" s="339"/>
      <c r="Q24" s="339"/>
      <c r="R24" s="340"/>
      <c r="S24" s="338"/>
      <c r="T24" s="339"/>
      <c r="U24" s="339"/>
      <c r="V24" s="340"/>
      <c r="W24" s="339"/>
      <c r="X24" s="339"/>
    </row>
    <row r="25" spans="1:24" x14ac:dyDescent="0.2">
      <c r="A25" s="41"/>
      <c r="B25" s="41"/>
      <c r="C25" s="42"/>
      <c r="D25" s="43"/>
      <c r="E25" s="43"/>
      <c r="F25" s="43"/>
      <c r="G25" s="42"/>
      <c r="H25" s="43"/>
      <c r="I25" s="43"/>
      <c r="J25" s="44"/>
      <c r="K25" s="42"/>
      <c r="L25" s="43"/>
      <c r="M25" s="43"/>
      <c r="N25" s="44"/>
      <c r="O25" s="42"/>
      <c r="P25" s="43"/>
      <c r="Q25" s="43"/>
      <c r="R25" s="44"/>
      <c r="S25" s="42"/>
      <c r="T25" s="43"/>
      <c r="U25" s="43"/>
      <c r="V25" s="44"/>
      <c r="W25" s="43"/>
      <c r="X25" s="43"/>
    </row>
    <row r="26" spans="1:24" x14ac:dyDescent="0.2">
      <c r="A26" s="41" t="s">
        <v>401</v>
      </c>
      <c r="B26" s="41" t="s">
        <v>146</v>
      </c>
      <c r="C26" s="42">
        <f>SUM(C27:C28)</f>
        <v>2175.8000000000002</v>
      </c>
      <c r="D26" s="43">
        <f t="shared" ref="D26:X26" si="16">SUM(D27:D28)</f>
        <v>2057.5</v>
      </c>
      <c r="E26" s="43">
        <f t="shared" si="16"/>
        <v>2061.8999999999996</v>
      </c>
      <c r="F26" s="43">
        <f t="shared" si="16"/>
        <v>2232.6</v>
      </c>
      <c r="G26" s="42">
        <f>SUM(G27:G28)</f>
        <v>2461.8000000000002</v>
      </c>
      <c r="H26" s="43">
        <f t="shared" si="16"/>
        <v>2602.6999999999998</v>
      </c>
      <c r="I26" s="43">
        <f t="shared" si="16"/>
        <v>2918.7000000000003</v>
      </c>
      <c r="J26" s="44">
        <f t="shared" si="16"/>
        <v>2925.1</v>
      </c>
      <c r="K26" s="42">
        <f t="shared" si="16"/>
        <v>2866.4</v>
      </c>
      <c r="L26" s="43">
        <f t="shared" si="16"/>
        <v>2714.5</v>
      </c>
      <c r="M26" s="43">
        <f t="shared" si="16"/>
        <v>2673.4</v>
      </c>
      <c r="N26" s="44">
        <f t="shared" si="16"/>
        <v>2545.6</v>
      </c>
      <c r="O26" s="42">
        <f t="shared" si="16"/>
        <v>2369.1</v>
      </c>
      <c r="P26" s="43">
        <f t="shared" si="16"/>
        <v>2420</v>
      </c>
      <c r="Q26" s="43">
        <f t="shared" si="16"/>
        <v>2428.5</v>
      </c>
      <c r="R26" s="44">
        <f t="shared" si="16"/>
        <v>2585</v>
      </c>
      <c r="S26" s="42">
        <f t="shared" si="16"/>
        <v>2491.1999999999998</v>
      </c>
      <c r="T26" s="43">
        <f t="shared" si="16"/>
        <v>2714.1</v>
      </c>
      <c r="U26" s="43">
        <f t="shared" si="16"/>
        <v>2733.3</v>
      </c>
      <c r="V26" s="44">
        <f t="shared" si="16"/>
        <v>2821.7999999999997</v>
      </c>
      <c r="W26" s="43">
        <f t="shared" si="16"/>
        <v>1140.5000000000002</v>
      </c>
      <c r="X26" s="43">
        <f t="shared" si="16"/>
        <v>1276.1000000000001</v>
      </c>
    </row>
    <row r="27" spans="1:24" s="138" customFormat="1" x14ac:dyDescent="0.2">
      <c r="A27" s="59" t="s">
        <v>402</v>
      </c>
      <c r="B27" s="59" t="s">
        <v>147</v>
      </c>
      <c r="C27" s="60">
        <v>454.3</v>
      </c>
      <c r="D27" s="61">
        <v>436.3</v>
      </c>
      <c r="E27" s="61">
        <v>432</v>
      </c>
      <c r="F27" s="61">
        <v>379</v>
      </c>
      <c r="G27" s="60">
        <v>452.4</v>
      </c>
      <c r="H27" s="61">
        <v>520</v>
      </c>
      <c r="I27" s="61">
        <v>399.4</v>
      </c>
      <c r="J27" s="62">
        <v>382.7</v>
      </c>
      <c r="K27" s="60">
        <v>369.1</v>
      </c>
      <c r="L27" s="61">
        <v>354.5</v>
      </c>
      <c r="M27" s="61">
        <v>414.3</v>
      </c>
      <c r="N27" s="62">
        <v>381.1</v>
      </c>
      <c r="O27" s="60">
        <v>332.8</v>
      </c>
      <c r="P27" s="61">
        <v>369</v>
      </c>
      <c r="Q27" s="61">
        <v>408.6</v>
      </c>
      <c r="R27" s="62">
        <v>434.8</v>
      </c>
      <c r="S27" s="60">
        <v>438.1</v>
      </c>
      <c r="T27" s="61">
        <v>501.9</v>
      </c>
      <c r="U27" s="61">
        <v>548.20000000000005</v>
      </c>
      <c r="V27" s="62">
        <v>4.7</v>
      </c>
      <c r="W27" s="61">
        <v>18.700000000000045</v>
      </c>
      <c r="X27" s="61">
        <v>32.700000000000045</v>
      </c>
    </row>
    <row r="28" spans="1:24" s="138" customFormat="1" x14ac:dyDescent="0.2">
      <c r="A28" s="59" t="s">
        <v>403</v>
      </c>
      <c r="B28" s="59" t="s">
        <v>148</v>
      </c>
      <c r="C28" s="60">
        <f>1716.3+5.2</f>
        <v>1721.5</v>
      </c>
      <c r="D28" s="61">
        <f>1617.2+4</f>
        <v>1621.2</v>
      </c>
      <c r="E28" s="61">
        <f>1625.6+4.3</f>
        <v>1629.8999999999999</v>
      </c>
      <c r="F28" s="61">
        <v>1853.6</v>
      </c>
      <c r="G28" s="60">
        <v>2009.4</v>
      </c>
      <c r="H28" s="61">
        <v>2082.6999999999998</v>
      </c>
      <c r="I28" s="61">
        <v>2519.3000000000002</v>
      </c>
      <c r="J28" s="62">
        <v>2542.4</v>
      </c>
      <c r="K28" s="60">
        <v>2497.3000000000002</v>
      </c>
      <c r="L28" s="61">
        <v>2360</v>
      </c>
      <c r="M28" s="61">
        <v>2259.1</v>
      </c>
      <c r="N28" s="62">
        <v>2164.5</v>
      </c>
      <c r="O28" s="60">
        <v>2036.3</v>
      </c>
      <c r="P28" s="61">
        <v>2051</v>
      </c>
      <c r="Q28" s="61">
        <v>2019.9</v>
      </c>
      <c r="R28" s="62">
        <v>2150.1999999999998</v>
      </c>
      <c r="S28" s="60">
        <v>2053.1</v>
      </c>
      <c r="T28" s="61">
        <v>2212.1999999999998</v>
      </c>
      <c r="U28" s="61">
        <v>2185.1</v>
      </c>
      <c r="V28" s="62">
        <v>2817.1</v>
      </c>
      <c r="W28" s="61">
        <v>1121.8000000000002</v>
      </c>
      <c r="X28" s="61">
        <v>1243.4000000000001</v>
      </c>
    </row>
    <row r="29" spans="1:24" x14ac:dyDescent="0.2">
      <c r="A29" s="41" t="s">
        <v>386</v>
      </c>
      <c r="B29" s="41" t="s">
        <v>132</v>
      </c>
      <c r="C29" s="42">
        <v>0</v>
      </c>
      <c r="D29" s="43">
        <v>0</v>
      </c>
      <c r="E29" s="43">
        <v>0</v>
      </c>
      <c r="F29" s="43">
        <v>0</v>
      </c>
      <c r="G29" s="42">
        <v>0</v>
      </c>
      <c r="H29" s="43">
        <v>0</v>
      </c>
      <c r="I29" s="43">
        <v>0</v>
      </c>
      <c r="J29" s="44">
        <v>0</v>
      </c>
      <c r="K29" s="42">
        <v>0</v>
      </c>
      <c r="L29" s="43">
        <v>0</v>
      </c>
      <c r="M29" s="43">
        <v>0</v>
      </c>
      <c r="N29" s="44">
        <v>0</v>
      </c>
      <c r="O29" s="42">
        <v>0</v>
      </c>
      <c r="P29" s="43">
        <v>0</v>
      </c>
      <c r="Q29" s="43">
        <v>0</v>
      </c>
      <c r="R29" s="44">
        <v>0</v>
      </c>
      <c r="S29" s="42">
        <v>0</v>
      </c>
      <c r="T29" s="43">
        <v>0</v>
      </c>
      <c r="U29" s="43">
        <v>0</v>
      </c>
      <c r="V29" s="44">
        <v>0</v>
      </c>
      <c r="W29" s="43">
        <v>0.1</v>
      </c>
      <c r="X29" s="43">
        <v>0</v>
      </c>
    </row>
    <row r="30" spans="1:24" hidden="1" x14ac:dyDescent="0.2">
      <c r="A30" s="41" t="s">
        <v>387</v>
      </c>
      <c r="B30" s="41" t="s">
        <v>133</v>
      </c>
      <c r="C30" s="42">
        <v>0</v>
      </c>
      <c r="D30" s="43">
        <v>0</v>
      </c>
      <c r="E30" s="43">
        <v>0</v>
      </c>
      <c r="F30" s="43">
        <v>0</v>
      </c>
      <c r="G30" s="42">
        <v>0</v>
      </c>
      <c r="H30" s="43">
        <v>0</v>
      </c>
      <c r="I30" s="43">
        <v>0</v>
      </c>
      <c r="J30" s="44">
        <v>0</v>
      </c>
      <c r="K30" s="42">
        <v>0</v>
      </c>
      <c r="L30" s="43">
        <v>0</v>
      </c>
      <c r="M30" s="43">
        <v>0</v>
      </c>
      <c r="N30" s="44">
        <v>0</v>
      </c>
      <c r="O30" s="42">
        <v>0</v>
      </c>
      <c r="P30" s="43">
        <v>0</v>
      </c>
      <c r="Q30" s="43">
        <v>0</v>
      </c>
      <c r="R30" s="44">
        <v>0</v>
      </c>
      <c r="S30" s="42">
        <v>0</v>
      </c>
      <c r="T30" s="43">
        <v>0</v>
      </c>
      <c r="U30" s="43">
        <v>0</v>
      </c>
      <c r="V30" s="44">
        <v>0</v>
      </c>
      <c r="W30" s="43">
        <v>0</v>
      </c>
      <c r="X30" s="43">
        <v>0</v>
      </c>
    </row>
    <row r="31" spans="1:24" x14ac:dyDescent="0.2">
      <c r="A31" s="41" t="s">
        <v>390</v>
      </c>
      <c r="B31" s="41" t="s">
        <v>136</v>
      </c>
      <c r="C31" s="42">
        <v>0</v>
      </c>
      <c r="D31" s="43">
        <v>0</v>
      </c>
      <c r="E31" s="43">
        <v>0</v>
      </c>
      <c r="F31" s="43">
        <v>0</v>
      </c>
      <c r="G31" s="42">
        <v>0</v>
      </c>
      <c r="H31" s="43">
        <v>802.6</v>
      </c>
      <c r="I31" s="43">
        <v>71</v>
      </c>
      <c r="J31" s="44">
        <v>158.1</v>
      </c>
      <c r="K31" s="42">
        <v>169</v>
      </c>
      <c r="L31" s="43">
        <v>654.70000000000005</v>
      </c>
      <c r="M31" s="43">
        <v>214.8</v>
      </c>
      <c r="N31" s="44">
        <v>626.70000000000005</v>
      </c>
      <c r="O31" s="42">
        <v>186.3</v>
      </c>
      <c r="P31" s="43">
        <v>128.1</v>
      </c>
      <c r="Q31" s="43">
        <v>90.8</v>
      </c>
      <c r="R31" s="44">
        <v>0</v>
      </c>
      <c r="S31" s="42">
        <v>39.5</v>
      </c>
      <c r="T31" s="43">
        <v>80.7</v>
      </c>
      <c r="U31" s="43">
        <v>90.1</v>
      </c>
      <c r="V31" s="44">
        <v>0</v>
      </c>
      <c r="W31" s="43">
        <v>78.599999999999994</v>
      </c>
      <c r="X31" s="43">
        <v>0</v>
      </c>
    </row>
    <row r="32" spans="1:24" x14ac:dyDescent="0.2">
      <c r="A32" s="41" t="s">
        <v>391</v>
      </c>
      <c r="B32" s="41" t="s">
        <v>137</v>
      </c>
      <c r="C32" s="42">
        <v>81.900000000000006</v>
      </c>
      <c r="D32" s="43">
        <f>69.7</f>
        <v>69.7</v>
      </c>
      <c r="E32" s="43">
        <f>68.3</f>
        <v>68.3</v>
      </c>
      <c r="F32" s="43">
        <v>110</v>
      </c>
      <c r="G32" s="42">
        <v>95.1</v>
      </c>
      <c r="H32" s="43">
        <v>103.1</v>
      </c>
      <c r="I32" s="43">
        <v>153.5</v>
      </c>
      <c r="J32" s="44">
        <v>98.2</v>
      </c>
      <c r="K32" s="42">
        <v>103.9</v>
      </c>
      <c r="L32" s="43">
        <v>120.6</v>
      </c>
      <c r="M32" s="43">
        <v>138.30000000000001</v>
      </c>
      <c r="N32" s="44">
        <v>151.4</v>
      </c>
      <c r="O32" s="42">
        <v>145.6</v>
      </c>
      <c r="P32" s="43">
        <v>129.6</v>
      </c>
      <c r="Q32" s="43">
        <v>153.69999999999999</v>
      </c>
      <c r="R32" s="44">
        <v>83.2</v>
      </c>
      <c r="S32" s="42">
        <v>175.1</v>
      </c>
      <c r="T32" s="43">
        <v>154.80000000000001</v>
      </c>
      <c r="U32" s="43">
        <v>140.19999999999999</v>
      </c>
      <c r="V32" s="44">
        <v>87.4</v>
      </c>
      <c r="W32" s="43">
        <v>108.7</v>
      </c>
      <c r="X32" s="43">
        <v>101.7</v>
      </c>
    </row>
    <row r="33" spans="1:24" s="13" customFormat="1" ht="12" x14ac:dyDescent="0.2">
      <c r="A33" s="11" t="s">
        <v>404</v>
      </c>
      <c r="B33" s="11" t="s">
        <v>138</v>
      </c>
      <c r="C33" s="345">
        <f>C26+C29+C30+C31+C32</f>
        <v>2257.7000000000003</v>
      </c>
      <c r="D33" s="346">
        <f t="shared" ref="D33:X33" si="17">D26+D29+D30+D31+D32</f>
        <v>2127.1999999999998</v>
      </c>
      <c r="E33" s="346">
        <f t="shared" si="17"/>
        <v>2130.1999999999998</v>
      </c>
      <c r="F33" s="346">
        <f t="shared" si="17"/>
        <v>2342.6</v>
      </c>
      <c r="G33" s="345">
        <f t="shared" si="17"/>
        <v>2556.9</v>
      </c>
      <c r="H33" s="346">
        <f t="shared" si="17"/>
        <v>3508.3999999999996</v>
      </c>
      <c r="I33" s="346">
        <f t="shared" si="17"/>
        <v>3143.2000000000003</v>
      </c>
      <c r="J33" s="347">
        <f t="shared" si="17"/>
        <v>3181.3999999999996</v>
      </c>
      <c r="K33" s="345">
        <f t="shared" si="17"/>
        <v>3139.3</v>
      </c>
      <c r="L33" s="346">
        <f t="shared" si="17"/>
        <v>3489.7999999999997</v>
      </c>
      <c r="M33" s="346">
        <f t="shared" si="17"/>
        <v>3026.5000000000005</v>
      </c>
      <c r="N33" s="347">
        <f t="shared" si="17"/>
        <v>3323.7000000000003</v>
      </c>
      <c r="O33" s="345">
        <f t="shared" si="17"/>
        <v>2701</v>
      </c>
      <c r="P33" s="346">
        <f t="shared" si="17"/>
        <v>2677.7</v>
      </c>
      <c r="Q33" s="346">
        <f t="shared" si="17"/>
        <v>2673</v>
      </c>
      <c r="R33" s="347">
        <f t="shared" si="17"/>
        <v>2668.2</v>
      </c>
      <c r="S33" s="345">
        <f t="shared" si="17"/>
        <v>2705.7999999999997</v>
      </c>
      <c r="T33" s="346">
        <f t="shared" si="17"/>
        <v>2949.6</v>
      </c>
      <c r="U33" s="346">
        <f t="shared" si="17"/>
        <v>2963.6</v>
      </c>
      <c r="V33" s="347">
        <f t="shared" si="17"/>
        <v>2909.2</v>
      </c>
      <c r="W33" s="346">
        <f t="shared" si="17"/>
        <v>1327.9</v>
      </c>
      <c r="X33" s="346">
        <f t="shared" si="17"/>
        <v>1377.8000000000002</v>
      </c>
    </row>
    <row r="34" spans="1:24" x14ac:dyDescent="0.2">
      <c r="A34" s="41" t="s">
        <v>393</v>
      </c>
      <c r="B34" s="41" t="s">
        <v>139</v>
      </c>
      <c r="C34" s="42">
        <f t="shared" ref="C34:X34" si="18">SUM(C35:C36)</f>
        <v>-7.6</v>
      </c>
      <c r="D34" s="43">
        <f t="shared" si="18"/>
        <v>-4.7</v>
      </c>
      <c r="E34" s="43">
        <f t="shared" si="18"/>
        <v>-4.5</v>
      </c>
      <c r="F34" s="43">
        <f t="shared" si="18"/>
        <v>-5.8</v>
      </c>
      <c r="G34" s="42">
        <f t="shared" si="18"/>
        <v>-5.7</v>
      </c>
      <c r="H34" s="43">
        <f t="shared" si="18"/>
        <v>-3.6</v>
      </c>
      <c r="I34" s="43">
        <f t="shared" si="18"/>
        <v>-3.2</v>
      </c>
      <c r="J34" s="44">
        <f t="shared" si="18"/>
        <v>-2</v>
      </c>
      <c r="K34" s="42">
        <f t="shared" si="18"/>
        <v>-2.1</v>
      </c>
      <c r="L34" s="43">
        <f t="shared" si="18"/>
        <v>-1.8</v>
      </c>
      <c r="M34" s="43">
        <f t="shared" si="18"/>
        <v>-2.2000000000000002</v>
      </c>
      <c r="N34" s="44">
        <f t="shared" si="18"/>
        <v>-1.8</v>
      </c>
      <c r="O34" s="42">
        <f t="shared" si="18"/>
        <v>-1.7</v>
      </c>
      <c r="P34" s="43">
        <f t="shared" si="18"/>
        <v>-1.7</v>
      </c>
      <c r="Q34" s="43">
        <f t="shared" si="18"/>
        <v>-2.1</v>
      </c>
      <c r="R34" s="44">
        <f t="shared" si="18"/>
        <v>-1.9</v>
      </c>
      <c r="S34" s="42">
        <f t="shared" si="18"/>
        <v>-1.4</v>
      </c>
      <c r="T34" s="43">
        <f t="shared" si="18"/>
        <v>-0.2</v>
      </c>
      <c r="U34" s="43">
        <f t="shared" si="18"/>
        <v>-0.3</v>
      </c>
      <c r="V34" s="44">
        <f t="shared" si="18"/>
        <v>-0.3</v>
      </c>
      <c r="W34" s="43">
        <f t="shared" si="18"/>
        <v>-0.4</v>
      </c>
      <c r="X34" s="43">
        <f t="shared" si="18"/>
        <v>-0.7</v>
      </c>
    </row>
    <row r="35" spans="1:24" s="138" customFormat="1" x14ac:dyDescent="0.2">
      <c r="A35" s="136" t="s">
        <v>394</v>
      </c>
      <c r="B35" s="136" t="s">
        <v>140</v>
      </c>
      <c r="C35" s="60">
        <v>-7.6</v>
      </c>
      <c r="D35" s="61">
        <v>-4.7</v>
      </c>
      <c r="E35" s="61">
        <v>-4.5</v>
      </c>
      <c r="F35" s="61">
        <v>-5.8</v>
      </c>
      <c r="G35" s="60">
        <v>-5.7</v>
      </c>
      <c r="H35" s="61">
        <v>-3.6</v>
      </c>
      <c r="I35" s="61">
        <v>-3.2</v>
      </c>
      <c r="J35" s="62">
        <v>-2</v>
      </c>
      <c r="K35" s="60">
        <v>-2.1</v>
      </c>
      <c r="L35" s="61">
        <v>-1.8</v>
      </c>
      <c r="M35" s="61">
        <v>-2.2000000000000002</v>
      </c>
      <c r="N35" s="62">
        <v>-1.8</v>
      </c>
      <c r="O35" s="60">
        <v>-1.7</v>
      </c>
      <c r="P35" s="61">
        <v>-1.7</v>
      </c>
      <c r="Q35" s="61">
        <v>-2.1</v>
      </c>
      <c r="R35" s="62">
        <v>-1.9</v>
      </c>
      <c r="S35" s="60">
        <v>-1.4</v>
      </c>
      <c r="T35" s="61">
        <v>-0.2</v>
      </c>
      <c r="U35" s="61">
        <v>-0.3</v>
      </c>
      <c r="V35" s="62">
        <v>-0.3</v>
      </c>
      <c r="W35" s="61">
        <v>-0.4</v>
      </c>
      <c r="X35" s="61">
        <v>-0.7</v>
      </c>
    </row>
    <row r="36" spans="1:24" s="138" customFormat="1" hidden="1" x14ac:dyDescent="0.2">
      <c r="A36" s="136" t="s">
        <v>395</v>
      </c>
      <c r="B36" s="136" t="s">
        <v>141</v>
      </c>
      <c r="C36" s="60">
        <v>0</v>
      </c>
      <c r="D36" s="61">
        <v>0</v>
      </c>
      <c r="E36" s="61">
        <v>0</v>
      </c>
      <c r="F36" s="61">
        <v>0</v>
      </c>
      <c r="G36" s="60">
        <v>0</v>
      </c>
      <c r="H36" s="61">
        <v>0</v>
      </c>
      <c r="I36" s="61">
        <v>0</v>
      </c>
      <c r="J36" s="62">
        <v>0</v>
      </c>
      <c r="K36" s="60">
        <v>0</v>
      </c>
      <c r="L36" s="61">
        <v>0</v>
      </c>
      <c r="M36" s="61">
        <v>0</v>
      </c>
      <c r="N36" s="62">
        <v>0</v>
      </c>
      <c r="O36" s="60">
        <v>0</v>
      </c>
      <c r="P36" s="61">
        <v>0</v>
      </c>
      <c r="Q36" s="61">
        <v>0</v>
      </c>
      <c r="R36" s="62">
        <v>0</v>
      </c>
      <c r="S36" s="60">
        <v>0</v>
      </c>
      <c r="T36" s="61">
        <v>0</v>
      </c>
      <c r="U36" s="61">
        <v>0</v>
      </c>
      <c r="V36" s="62">
        <v>0</v>
      </c>
      <c r="W36" s="61">
        <v>0</v>
      </c>
      <c r="X36" s="61">
        <v>0</v>
      </c>
    </row>
    <row r="37" spans="1:24" s="14" customFormat="1" x14ac:dyDescent="0.2">
      <c r="A37" s="109" t="s">
        <v>405</v>
      </c>
      <c r="B37" s="109" t="s">
        <v>149</v>
      </c>
      <c r="C37" s="103">
        <f t="shared" ref="C37:X37" si="19">C33+C34</f>
        <v>2250.1000000000004</v>
      </c>
      <c r="D37" s="104">
        <f t="shared" si="19"/>
        <v>2122.5</v>
      </c>
      <c r="E37" s="104">
        <f t="shared" si="19"/>
        <v>2125.6999999999998</v>
      </c>
      <c r="F37" s="104">
        <f t="shared" si="19"/>
        <v>2336.7999999999997</v>
      </c>
      <c r="G37" s="103">
        <f t="shared" si="19"/>
        <v>2551.2000000000003</v>
      </c>
      <c r="H37" s="104">
        <f t="shared" si="19"/>
        <v>3504.7999999999997</v>
      </c>
      <c r="I37" s="104">
        <f t="shared" si="19"/>
        <v>3140.0000000000005</v>
      </c>
      <c r="J37" s="105">
        <f t="shared" si="19"/>
        <v>3179.3999999999996</v>
      </c>
      <c r="K37" s="103">
        <f t="shared" si="19"/>
        <v>3137.2000000000003</v>
      </c>
      <c r="L37" s="104">
        <f t="shared" si="19"/>
        <v>3487.9999999999995</v>
      </c>
      <c r="M37" s="104">
        <f t="shared" si="19"/>
        <v>3024.3000000000006</v>
      </c>
      <c r="N37" s="105">
        <f t="shared" si="19"/>
        <v>3321.9</v>
      </c>
      <c r="O37" s="103">
        <f t="shared" si="19"/>
        <v>2699.3</v>
      </c>
      <c r="P37" s="104">
        <f t="shared" si="19"/>
        <v>2676</v>
      </c>
      <c r="Q37" s="104">
        <f t="shared" si="19"/>
        <v>2670.9</v>
      </c>
      <c r="R37" s="105">
        <f t="shared" si="19"/>
        <v>2666.2999999999997</v>
      </c>
      <c r="S37" s="103">
        <f t="shared" si="19"/>
        <v>2704.3999999999996</v>
      </c>
      <c r="T37" s="104">
        <f t="shared" si="19"/>
        <v>2949.4</v>
      </c>
      <c r="U37" s="104">
        <f t="shared" si="19"/>
        <v>2963.2999999999997</v>
      </c>
      <c r="V37" s="105">
        <f t="shared" si="19"/>
        <v>2908.8999999999996</v>
      </c>
      <c r="W37" s="104">
        <f t="shared" si="19"/>
        <v>1327.5</v>
      </c>
      <c r="X37" s="104">
        <f t="shared" si="19"/>
        <v>1377.1000000000001</v>
      </c>
    </row>
    <row r="38" spans="1:24" x14ac:dyDescent="0.2">
      <c r="A38" s="130"/>
      <c r="B38" s="130"/>
      <c r="C38" s="42"/>
      <c r="D38" s="43"/>
      <c r="E38" s="43"/>
      <c r="F38" s="43"/>
      <c r="G38" s="42"/>
      <c r="H38" s="43"/>
      <c r="I38" s="43"/>
      <c r="J38" s="44"/>
      <c r="K38" s="42"/>
      <c r="L38" s="43"/>
      <c r="M38" s="43"/>
      <c r="N38" s="44"/>
      <c r="O38" s="42"/>
      <c r="P38" s="43"/>
      <c r="Q38" s="43"/>
      <c r="R38" s="44"/>
      <c r="S38" s="42"/>
      <c r="T38" s="43"/>
      <c r="U38" s="43"/>
      <c r="V38" s="44"/>
      <c r="W38" s="43"/>
      <c r="X38" s="43"/>
    </row>
    <row r="39" spans="1:24" s="13" customFormat="1" ht="12" x14ac:dyDescent="0.2">
      <c r="A39" s="337" t="s">
        <v>406</v>
      </c>
      <c r="B39" s="337" t="s">
        <v>150</v>
      </c>
      <c r="C39" s="338"/>
      <c r="D39" s="339"/>
      <c r="E39" s="339"/>
      <c r="F39" s="339"/>
      <c r="G39" s="338"/>
      <c r="H39" s="339"/>
      <c r="I39" s="339"/>
      <c r="J39" s="340"/>
      <c r="K39" s="338"/>
      <c r="L39" s="339"/>
      <c r="M39" s="339"/>
      <c r="N39" s="340"/>
      <c r="O39" s="338"/>
      <c r="P39" s="339"/>
      <c r="Q39" s="339"/>
      <c r="R39" s="340"/>
      <c r="S39" s="338"/>
      <c r="T39" s="339"/>
      <c r="U39" s="339"/>
      <c r="V39" s="340"/>
      <c r="W39" s="339"/>
      <c r="X39" s="339"/>
    </row>
    <row r="40" spans="1:24" x14ac:dyDescent="0.2">
      <c r="A40" s="41"/>
      <c r="B40" s="41"/>
      <c r="C40" s="42"/>
      <c r="D40" s="43"/>
      <c r="E40" s="43"/>
      <c r="F40" s="43"/>
      <c r="G40" s="42"/>
      <c r="H40" s="43"/>
      <c r="I40" s="43"/>
      <c r="J40" s="44"/>
      <c r="K40" s="42"/>
      <c r="L40" s="43"/>
      <c r="M40" s="43"/>
      <c r="N40" s="44"/>
      <c r="O40" s="42"/>
      <c r="P40" s="43"/>
      <c r="Q40" s="43"/>
      <c r="R40" s="44"/>
      <c r="S40" s="42"/>
      <c r="T40" s="43"/>
      <c r="U40" s="43"/>
      <c r="V40" s="44"/>
      <c r="W40" s="43"/>
      <c r="X40" s="43"/>
    </row>
    <row r="41" spans="1:24" x14ac:dyDescent="0.2">
      <c r="A41" s="41" t="s">
        <v>407</v>
      </c>
      <c r="B41" s="41" t="s">
        <v>151</v>
      </c>
      <c r="C41" s="42">
        <f>SUM(C42:C43)</f>
        <v>7497.0000000000009</v>
      </c>
      <c r="D41" s="43">
        <f t="shared" ref="D41:X41" si="20">SUM(D42:D43)</f>
        <v>8001</v>
      </c>
      <c r="E41" s="43">
        <f t="shared" si="20"/>
        <v>8387.9</v>
      </c>
      <c r="F41" s="43">
        <f t="shared" si="20"/>
        <v>8783.0999999999985</v>
      </c>
      <c r="G41" s="42">
        <f t="shared" si="20"/>
        <v>9812.4000000000015</v>
      </c>
      <c r="H41" s="43">
        <f t="shared" si="20"/>
        <v>10462.799999999999</v>
      </c>
      <c r="I41" s="43">
        <f t="shared" si="20"/>
        <v>11713</v>
      </c>
      <c r="J41" s="44">
        <f t="shared" si="20"/>
        <v>12153.3</v>
      </c>
      <c r="K41" s="42">
        <f t="shared" si="20"/>
        <v>12665.2</v>
      </c>
      <c r="L41" s="43">
        <f t="shared" si="20"/>
        <v>12407.6</v>
      </c>
      <c r="M41" s="43">
        <f t="shared" si="20"/>
        <v>12236.599999999999</v>
      </c>
      <c r="N41" s="44">
        <f t="shared" si="20"/>
        <v>11871.9</v>
      </c>
      <c r="O41" s="42">
        <f t="shared" si="20"/>
        <v>11873.9</v>
      </c>
      <c r="P41" s="43">
        <f t="shared" si="20"/>
        <v>12198</v>
      </c>
      <c r="Q41" s="43">
        <f t="shared" si="20"/>
        <v>12939.7</v>
      </c>
      <c r="R41" s="44">
        <f t="shared" si="20"/>
        <v>12851.2</v>
      </c>
      <c r="S41" s="42">
        <f t="shared" si="20"/>
        <v>13210.5</v>
      </c>
      <c r="T41" s="43">
        <f t="shared" si="20"/>
        <v>14014.4</v>
      </c>
      <c r="U41" s="43">
        <f t="shared" si="20"/>
        <v>14868.3</v>
      </c>
      <c r="V41" s="44">
        <f t="shared" si="20"/>
        <v>15714.1</v>
      </c>
      <c r="W41" s="43">
        <f t="shared" si="20"/>
        <v>18068.3</v>
      </c>
      <c r="X41" s="43">
        <f t="shared" si="20"/>
        <v>18113.099999999999</v>
      </c>
    </row>
    <row r="42" spans="1:24" s="138" customFormat="1" x14ac:dyDescent="0.2">
      <c r="A42" s="59" t="s">
        <v>402</v>
      </c>
      <c r="B42" s="59" t="s">
        <v>147</v>
      </c>
      <c r="C42" s="60">
        <v>2902.5</v>
      </c>
      <c r="D42" s="61">
        <v>3044.2</v>
      </c>
      <c r="E42" s="61">
        <v>3151.5</v>
      </c>
      <c r="F42" s="61">
        <v>3104.3</v>
      </c>
      <c r="G42" s="60">
        <v>3716</v>
      </c>
      <c r="H42" s="61">
        <v>4006.5</v>
      </c>
      <c r="I42" s="61">
        <v>4328.8999999999996</v>
      </c>
      <c r="J42" s="62">
        <v>3931.5</v>
      </c>
      <c r="K42" s="60">
        <v>4269</v>
      </c>
      <c r="L42" s="61">
        <v>4301</v>
      </c>
      <c r="M42" s="61">
        <v>4001.9</v>
      </c>
      <c r="N42" s="62">
        <v>3504.5</v>
      </c>
      <c r="O42" s="60">
        <v>3713.8</v>
      </c>
      <c r="P42" s="61">
        <v>3930.5</v>
      </c>
      <c r="Q42" s="61">
        <v>4036.5</v>
      </c>
      <c r="R42" s="62">
        <v>3724.3</v>
      </c>
      <c r="S42" s="60">
        <v>4031.2</v>
      </c>
      <c r="T42" s="61">
        <v>4490.6000000000004</v>
      </c>
      <c r="U42" s="61">
        <v>4624</v>
      </c>
      <c r="V42" s="62">
        <v>4316.1000000000004</v>
      </c>
      <c r="W42" s="61">
        <v>5179.3</v>
      </c>
      <c r="X42" s="61">
        <v>5409.3</v>
      </c>
    </row>
    <row r="43" spans="1:24" s="138" customFormat="1" x14ac:dyDescent="0.2">
      <c r="A43" s="59" t="s">
        <v>403</v>
      </c>
      <c r="B43" s="59" t="s">
        <v>148</v>
      </c>
      <c r="C43" s="60">
        <f>4736.6+24.1-24.2-142</f>
        <v>4594.5000000000009</v>
      </c>
      <c r="D43" s="61">
        <f>5101.5+19-20.9-142.8</f>
        <v>4956.8</v>
      </c>
      <c r="E43" s="61">
        <f>5353.9+24.4-24.7-117.2</f>
        <v>5236.3999999999996</v>
      </c>
      <c r="F43" s="61">
        <f>5801.4-122.6</f>
        <v>5678.7999999999993</v>
      </c>
      <c r="G43" s="60">
        <f>6219.3-122.9</f>
        <v>6096.4000000000005</v>
      </c>
      <c r="H43" s="61">
        <f>6585.1-128.8</f>
        <v>6456.3</v>
      </c>
      <c r="I43" s="61">
        <f>7552.9-168.8</f>
        <v>7384.0999999999995</v>
      </c>
      <c r="J43" s="62">
        <f>8380.5-158.7</f>
        <v>8221.7999999999993</v>
      </c>
      <c r="K43" s="60">
        <f>8661.6-265.4</f>
        <v>8396.2000000000007</v>
      </c>
      <c r="L43" s="61">
        <f>8356.6-250</f>
        <v>8106.6</v>
      </c>
      <c r="M43" s="61">
        <f>8407.4-172.7</f>
        <v>8234.6999999999989</v>
      </c>
      <c r="N43" s="62">
        <f>8537.8-170.4</f>
        <v>8367.4</v>
      </c>
      <c r="O43" s="60">
        <f>8297.4-137.3</f>
        <v>8160.0999999999995</v>
      </c>
      <c r="P43" s="61">
        <f>8432.1-164.6</f>
        <v>8267.5</v>
      </c>
      <c r="Q43" s="61">
        <f>9055-151.8</f>
        <v>8903.2000000000007</v>
      </c>
      <c r="R43" s="62">
        <f>9126.9</f>
        <v>9126.9</v>
      </c>
      <c r="S43" s="60">
        <v>9179.3000000000011</v>
      </c>
      <c r="T43" s="61">
        <f>-182.7+9706.5</f>
        <v>9523.7999999999993</v>
      </c>
      <c r="U43" s="61">
        <f>10508.5-264.2</f>
        <v>10244.299999999999</v>
      </c>
      <c r="V43" s="62">
        <v>11398</v>
      </c>
      <c r="W43" s="61">
        <v>12889</v>
      </c>
      <c r="X43" s="61">
        <v>12703.8</v>
      </c>
    </row>
    <row r="44" spans="1:24" x14ac:dyDescent="0.2">
      <c r="A44" s="41" t="s">
        <v>408</v>
      </c>
      <c r="B44" s="41" t="s">
        <v>152</v>
      </c>
      <c r="C44" s="42">
        <f>SUM(C45:C46)</f>
        <v>3801.8999999999996</v>
      </c>
      <c r="D44" s="43">
        <f t="shared" ref="D44:X44" si="21">SUM(D45:D46)</f>
        <v>4176.4000000000005</v>
      </c>
      <c r="E44" s="43">
        <f t="shared" si="21"/>
        <v>4618.5999999999995</v>
      </c>
      <c r="F44" s="43">
        <f t="shared" si="21"/>
        <v>4930.8999999999996</v>
      </c>
      <c r="G44" s="42">
        <f t="shared" si="21"/>
        <v>5364.5</v>
      </c>
      <c r="H44" s="43">
        <f t="shared" si="21"/>
        <v>5925.4</v>
      </c>
      <c r="I44" s="43">
        <f t="shared" si="21"/>
        <v>6595.5</v>
      </c>
      <c r="J44" s="44">
        <f t="shared" si="21"/>
        <v>7441.1999999999989</v>
      </c>
      <c r="K44" s="42">
        <f t="shared" si="21"/>
        <v>8247.7000000000007</v>
      </c>
      <c r="L44" s="43">
        <f t="shared" si="21"/>
        <v>8823.1</v>
      </c>
      <c r="M44" s="43">
        <f t="shared" si="21"/>
        <v>9331.1</v>
      </c>
      <c r="N44" s="44">
        <f t="shared" si="21"/>
        <v>9817.5999999999985</v>
      </c>
      <c r="O44" s="42">
        <f t="shared" si="21"/>
        <v>10275.300000000001</v>
      </c>
      <c r="P44" s="43">
        <f t="shared" si="21"/>
        <v>11101.800000000001</v>
      </c>
      <c r="Q44" s="43">
        <f t="shared" si="21"/>
        <v>11637.7</v>
      </c>
      <c r="R44" s="44">
        <f t="shared" si="21"/>
        <v>12623.199999999999</v>
      </c>
      <c r="S44" s="42">
        <f t="shared" si="21"/>
        <v>13270.4</v>
      </c>
      <c r="T44" s="43">
        <f t="shared" si="21"/>
        <v>14019.5</v>
      </c>
      <c r="U44" s="43">
        <f t="shared" si="21"/>
        <v>14786.3</v>
      </c>
      <c r="V44" s="44">
        <f t="shared" si="21"/>
        <v>15297.199999999999</v>
      </c>
      <c r="W44" s="43">
        <f t="shared" si="21"/>
        <v>15567.4</v>
      </c>
      <c r="X44" s="43">
        <f t="shared" si="21"/>
        <v>16148.6</v>
      </c>
    </row>
    <row r="45" spans="1:24" s="138" customFormat="1" x14ac:dyDescent="0.2">
      <c r="A45" s="59" t="s">
        <v>402</v>
      </c>
      <c r="B45" s="59" t="s">
        <v>147</v>
      </c>
      <c r="C45" s="60">
        <v>951.1</v>
      </c>
      <c r="D45" s="61">
        <v>997.6</v>
      </c>
      <c r="E45" s="61">
        <v>1014.1</v>
      </c>
      <c r="F45" s="61">
        <v>968.5</v>
      </c>
      <c r="G45" s="60">
        <v>1028.5</v>
      </c>
      <c r="H45" s="61">
        <v>1102.8</v>
      </c>
      <c r="I45" s="61">
        <v>1144.9000000000001</v>
      </c>
      <c r="J45" s="62">
        <v>1091.5999999999999</v>
      </c>
      <c r="K45" s="60">
        <v>1187.5</v>
      </c>
      <c r="L45" s="61">
        <v>1238.7</v>
      </c>
      <c r="M45" s="61">
        <v>1266.0999999999999</v>
      </c>
      <c r="N45" s="62">
        <v>1227</v>
      </c>
      <c r="O45" s="60">
        <v>1316.1</v>
      </c>
      <c r="P45" s="61">
        <v>1308</v>
      </c>
      <c r="Q45" s="61">
        <v>1354.2</v>
      </c>
      <c r="R45" s="62">
        <v>1255.8</v>
      </c>
      <c r="S45" s="60">
        <v>1341.8</v>
      </c>
      <c r="T45" s="61">
        <v>1356.8</v>
      </c>
      <c r="U45" s="61">
        <v>1341.5</v>
      </c>
      <c r="V45" s="62">
        <v>1311.3</v>
      </c>
      <c r="W45" s="61">
        <v>1367.8</v>
      </c>
      <c r="X45" s="61">
        <v>1410.3999999999999</v>
      </c>
    </row>
    <row r="46" spans="1:24" s="138" customFormat="1" x14ac:dyDescent="0.2">
      <c r="A46" s="59" t="s">
        <v>403</v>
      </c>
      <c r="B46" s="59" t="s">
        <v>148</v>
      </c>
      <c r="C46" s="60">
        <f>2832.6+24.2-6</f>
        <v>2850.7999999999997</v>
      </c>
      <c r="D46" s="61">
        <f>3164.4+20.9-6.5</f>
        <v>3178.8</v>
      </c>
      <c r="E46" s="61">
        <f>3589.1+24.7-9.3</f>
        <v>3604.4999999999995</v>
      </c>
      <c r="F46" s="61">
        <f>3969.4-7</f>
        <v>3962.4</v>
      </c>
      <c r="G46" s="60">
        <f>4345-9</f>
        <v>4336</v>
      </c>
      <c r="H46" s="61">
        <f>4828.7-6.1</f>
        <v>4822.5999999999995</v>
      </c>
      <c r="I46" s="61">
        <f>5458.7-8.1</f>
        <v>5450.5999999999995</v>
      </c>
      <c r="J46" s="62">
        <f>6354.9-5.3</f>
        <v>6349.5999999999995</v>
      </c>
      <c r="K46" s="60">
        <f>7065.6-5.4</f>
        <v>7060.2000000000007</v>
      </c>
      <c r="L46" s="61">
        <f>7589.2-4.8</f>
        <v>7584.4</v>
      </c>
      <c r="M46" s="61">
        <f>8070.8-5.8</f>
        <v>8065</v>
      </c>
      <c r="N46" s="62">
        <f>8595.8-5.2</f>
        <v>8590.5999999999985</v>
      </c>
      <c r="O46" s="60">
        <f>8966.5-7.3</f>
        <v>8959.2000000000007</v>
      </c>
      <c r="P46" s="61">
        <f>9802.2-8.4</f>
        <v>9793.8000000000011</v>
      </c>
      <c r="Q46" s="61">
        <f>10292.6-9.1</f>
        <v>10283.5</v>
      </c>
      <c r="R46" s="62">
        <v>11367.4</v>
      </c>
      <c r="S46" s="60">
        <v>11928.6</v>
      </c>
      <c r="T46" s="61">
        <f>-15.3+12678</f>
        <v>12662.7</v>
      </c>
      <c r="U46" s="61">
        <f>13462.9-18.1</f>
        <v>13444.8</v>
      </c>
      <c r="V46" s="62">
        <v>13985.9</v>
      </c>
      <c r="W46" s="61">
        <v>14199.6</v>
      </c>
      <c r="X46" s="61">
        <v>14738.2</v>
      </c>
    </row>
    <row r="47" spans="1:24" x14ac:dyDescent="0.2">
      <c r="A47" s="41" t="s">
        <v>386</v>
      </c>
      <c r="B47" s="41" t="s">
        <v>132</v>
      </c>
      <c r="C47" s="42">
        <v>0</v>
      </c>
      <c r="D47" s="43">
        <v>0</v>
      </c>
      <c r="E47" s="43">
        <v>0</v>
      </c>
      <c r="F47" s="43">
        <v>0</v>
      </c>
      <c r="G47" s="42">
        <v>0</v>
      </c>
      <c r="H47" s="43">
        <v>0</v>
      </c>
      <c r="I47" s="43">
        <v>0</v>
      </c>
      <c r="J47" s="44">
        <v>0</v>
      </c>
      <c r="K47" s="42">
        <v>0</v>
      </c>
      <c r="L47" s="43">
        <v>0</v>
      </c>
      <c r="M47" s="43">
        <v>0</v>
      </c>
      <c r="N47" s="44">
        <v>0</v>
      </c>
      <c r="O47" s="42">
        <v>0</v>
      </c>
      <c r="P47" s="43">
        <v>0</v>
      </c>
      <c r="Q47" s="43">
        <v>0</v>
      </c>
      <c r="R47" s="44">
        <v>0</v>
      </c>
      <c r="S47" s="42">
        <v>0</v>
      </c>
      <c r="T47" s="43">
        <v>0</v>
      </c>
      <c r="U47" s="43">
        <v>0</v>
      </c>
      <c r="V47" s="44">
        <v>0</v>
      </c>
      <c r="W47" s="43">
        <v>2930.7000000000003</v>
      </c>
      <c r="X47" s="43">
        <v>2973.6</v>
      </c>
    </row>
    <row r="48" spans="1:24" x14ac:dyDescent="0.2">
      <c r="A48" s="41" t="s">
        <v>387</v>
      </c>
      <c r="B48" s="41" t="s">
        <v>133</v>
      </c>
      <c r="C48" s="42">
        <f>142+6</f>
        <v>148</v>
      </c>
      <c r="D48" s="43">
        <f>142.8+6.5</f>
        <v>149.30000000000001</v>
      </c>
      <c r="E48" s="43">
        <f>117.2+9.3</f>
        <v>126.5</v>
      </c>
      <c r="F48" s="43">
        <f>122.6+7</f>
        <v>129.6</v>
      </c>
      <c r="G48" s="42">
        <f>122.9+9</f>
        <v>131.9</v>
      </c>
      <c r="H48" s="43">
        <v>134.9</v>
      </c>
      <c r="I48" s="43">
        <v>176.9</v>
      </c>
      <c r="J48" s="44">
        <v>164</v>
      </c>
      <c r="K48" s="42">
        <v>270.79999999999995</v>
      </c>
      <c r="L48" s="43">
        <v>254.8</v>
      </c>
      <c r="M48" s="43">
        <v>178.5</v>
      </c>
      <c r="N48" s="44">
        <v>175.6</v>
      </c>
      <c r="O48" s="42">
        <v>144.60000000000002</v>
      </c>
      <c r="P48" s="43">
        <v>173</v>
      </c>
      <c r="Q48" s="43">
        <v>160.9</v>
      </c>
      <c r="R48" s="44">
        <v>120.4</v>
      </c>
      <c r="S48" s="42">
        <v>106.5</v>
      </c>
      <c r="T48" s="43">
        <v>198</v>
      </c>
      <c r="U48" s="43">
        <v>282.3</v>
      </c>
      <c r="V48" s="44">
        <v>273.10000000000002</v>
      </c>
      <c r="W48" s="43">
        <v>1854.3999999999999</v>
      </c>
      <c r="X48" s="43">
        <v>2081.4</v>
      </c>
    </row>
    <row r="49" spans="1:24" x14ac:dyDescent="0.2">
      <c r="A49" s="41" t="s">
        <v>409</v>
      </c>
      <c r="B49" s="41" t="s">
        <v>153</v>
      </c>
      <c r="C49" s="42">
        <v>108.5</v>
      </c>
      <c r="D49" s="43">
        <f>101.4</f>
        <v>101.4</v>
      </c>
      <c r="E49" s="43">
        <v>96.6</v>
      </c>
      <c r="F49" s="43">
        <v>13.5</v>
      </c>
      <c r="G49" s="42">
        <v>13.5</v>
      </c>
      <c r="H49" s="43">
        <v>13.5</v>
      </c>
      <c r="I49" s="43">
        <v>13.5</v>
      </c>
      <c r="J49" s="44">
        <v>559.4</v>
      </c>
      <c r="K49" s="42">
        <v>552.29999999999995</v>
      </c>
      <c r="L49" s="43">
        <v>534</v>
      </c>
      <c r="M49" s="43">
        <v>440.5</v>
      </c>
      <c r="N49" s="44">
        <v>306.5</v>
      </c>
      <c r="O49" s="42">
        <v>304.3</v>
      </c>
      <c r="P49" s="43">
        <v>306.7</v>
      </c>
      <c r="Q49" s="43">
        <v>566.5</v>
      </c>
      <c r="R49" s="44">
        <v>646.6</v>
      </c>
      <c r="S49" s="42">
        <v>584.79999999999995</v>
      </c>
      <c r="T49" s="43">
        <v>537.5</v>
      </c>
      <c r="U49" s="43">
        <v>800.8</v>
      </c>
      <c r="V49" s="44">
        <v>1446.1</v>
      </c>
      <c r="W49" s="43">
        <v>1493</v>
      </c>
      <c r="X49" s="43">
        <v>1289.9000000000001</v>
      </c>
    </row>
    <row r="50" spans="1:24" x14ac:dyDescent="0.2">
      <c r="A50" s="41" t="s">
        <v>391</v>
      </c>
      <c r="B50" s="41" t="s">
        <v>137</v>
      </c>
      <c r="C50" s="42">
        <f>121.7-108.5</f>
        <v>13.200000000000003</v>
      </c>
      <c r="D50" s="43">
        <f>135.6-101.4</f>
        <v>34.199999999999989</v>
      </c>
      <c r="E50" s="43">
        <f>129.3-96.6</f>
        <v>32.700000000000017</v>
      </c>
      <c r="F50" s="43">
        <f>57.1-13.5</f>
        <v>43.6</v>
      </c>
      <c r="G50" s="42">
        <f>77.5-13.5</f>
        <v>64</v>
      </c>
      <c r="H50" s="43">
        <v>55.4</v>
      </c>
      <c r="I50" s="43">
        <v>70.599999999999994</v>
      </c>
      <c r="J50" s="44">
        <v>36.700000000000003</v>
      </c>
      <c r="K50" s="42">
        <v>51.1</v>
      </c>
      <c r="L50" s="43">
        <v>42.6</v>
      </c>
      <c r="M50" s="43">
        <v>24</v>
      </c>
      <c r="N50" s="44">
        <v>72.7</v>
      </c>
      <c r="O50" s="42">
        <v>38.200000000000003</v>
      </c>
      <c r="P50" s="43">
        <v>58</v>
      </c>
      <c r="Q50" s="43">
        <v>25.5</v>
      </c>
      <c r="R50" s="44">
        <v>64.400000000000006</v>
      </c>
      <c r="S50" s="42">
        <v>39.1</v>
      </c>
      <c r="T50" s="43">
        <v>57.8</v>
      </c>
      <c r="U50" s="43">
        <v>38.5</v>
      </c>
      <c r="V50" s="44">
        <v>17.600000000000001</v>
      </c>
      <c r="W50" s="43">
        <v>18.7</v>
      </c>
      <c r="X50" s="43">
        <v>14.9</v>
      </c>
    </row>
    <row r="51" spans="1:24" s="13" customFormat="1" ht="12" x14ac:dyDescent="0.2">
      <c r="A51" s="11" t="s">
        <v>404</v>
      </c>
      <c r="B51" s="11" t="s">
        <v>138</v>
      </c>
      <c r="C51" s="345">
        <f>C41+C44+C47+C48+C49+C50</f>
        <v>11568.600000000002</v>
      </c>
      <c r="D51" s="346">
        <f t="shared" ref="D51:X51" si="22">D41+D44+D47+D48+D49+D50</f>
        <v>12462.300000000001</v>
      </c>
      <c r="E51" s="346">
        <f t="shared" si="22"/>
        <v>13262.300000000001</v>
      </c>
      <c r="F51" s="346">
        <f>F41+F44+F47+F48+F49+F50</f>
        <v>13900.699999999999</v>
      </c>
      <c r="G51" s="345">
        <f t="shared" si="22"/>
        <v>15386.300000000001</v>
      </c>
      <c r="H51" s="346">
        <f t="shared" si="22"/>
        <v>16592</v>
      </c>
      <c r="I51" s="346">
        <f t="shared" si="22"/>
        <v>18569.5</v>
      </c>
      <c r="J51" s="347">
        <f t="shared" si="22"/>
        <v>20354.600000000002</v>
      </c>
      <c r="K51" s="345">
        <f t="shared" si="22"/>
        <v>21787.1</v>
      </c>
      <c r="L51" s="346">
        <f t="shared" si="22"/>
        <v>22062.1</v>
      </c>
      <c r="M51" s="346">
        <f t="shared" si="22"/>
        <v>22210.699999999997</v>
      </c>
      <c r="N51" s="347">
        <f t="shared" si="22"/>
        <v>22244.3</v>
      </c>
      <c r="O51" s="345">
        <f t="shared" si="22"/>
        <v>22636.3</v>
      </c>
      <c r="P51" s="346">
        <f t="shared" si="22"/>
        <v>23837.500000000004</v>
      </c>
      <c r="Q51" s="346">
        <f t="shared" si="22"/>
        <v>25330.300000000003</v>
      </c>
      <c r="R51" s="347">
        <f t="shared" si="22"/>
        <v>26305.800000000003</v>
      </c>
      <c r="S51" s="345">
        <f t="shared" si="22"/>
        <v>27211.3</v>
      </c>
      <c r="T51" s="346">
        <f t="shared" si="22"/>
        <v>28827.200000000001</v>
      </c>
      <c r="U51" s="346">
        <f t="shared" si="22"/>
        <v>30776.199999999997</v>
      </c>
      <c r="V51" s="347">
        <f t="shared" si="22"/>
        <v>32748.099999999995</v>
      </c>
      <c r="W51" s="346">
        <f t="shared" si="22"/>
        <v>39932.499999999993</v>
      </c>
      <c r="X51" s="346">
        <f t="shared" si="22"/>
        <v>40621.5</v>
      </c>
    </row>
    <row r="52" spans="1:24" x14ac:dyDescent="0.2">
      <c r="A52" s="41" t="s">
        <v>393</v>
      </c>
      <c r="B52" s="41" t="s">
        <v>139</v>
      </c>
      <c r="C52" s="42">
        <f>SUM(C53:C58)</f>
        <v>-632.20000000000005</v>
      </c>
      <c r="D52" s="43">
        <f t="shared" ref="D52:X52" si="23">SUM(D53:D58)</f>
        <v>-590.70000000000005</v>
      </c>
      <c r="E52" s="43">
        <f t="shared" si="23"/>
        <v>-521.79999999999995</v>
      </c>
      <c r="F52" s="43">
        <f t="shared" si="23"/>
        <v>-526.1</v>
      </c>
      <c r="G52" s="42">
        <f t="shared" si="23"/>
        <v>-539.20000000000005</v>
      </c>
      <c r="H52" s="43">
        <f t="shared" si="23"/>
        <v>-372.9</v>
      </c>
      <c r="I52" s="43">
        <f t="shared" si="23"/>
        <v>-393.60000000000008</v>
      </c>
      <c r="J52" s="44">
        <f t="shared" si="23"/>
        <v>-482.3</v>
      </c>
      <c r="K52" s="42">
        <f t="shared" si="23"/>
        <v>-654.1</v>
      </c>
      <c r="L52" s="43">
        <f t="shared" si="23"/>
        <v>-755.8</v>
      </c>
      <c r="M52" s="43">
        <f t="shared" si="23"/>
        <v>-804.9</v>
      </c>
      <c r="N52" s="44">
        <f t="shared" si="23"/>
        <v>-874.1</v>
      </c>
      <c r="O52" s="42">
        <f t="shared" si="23"/>
        <v>-930.9</v>
      </c>
      <c r="P52" s="43">
        <f t="shared" si="23"/>
        <v>-972.7</v>
      </c>
      <c r="Q52" s="43">
        <f t="shared" si="23"/>
        <v>-1037.9000000000001</v>
      </c>
      <c r="R52" s="44">
        <f t="shared" si="23"/>
        <v>-1082</v>
      </c>
      <c r="S52" s="42">
        <f t="shared" si="23"/>
        <v>-1122.7</v>
      </c>
      <c r="T52" s="43">
        <f t="shared" si="23"/>
        <v>-1140.5999999999999</v>
      </c>
      <c r="U52" s="43">
        <f t="shared" si="23"/>
        <v>-1182.7</v>
      </c>
      <c r="V52" s="44">
        <f t="shared" si="23"/>
        <v>-1112.3</v>
      </c>
      <c r="W52" s="43">
        <f t="shared" si="23"/>
        <v>-1194.9000000000001</v>
      </c>
      <c r="X52" s="43">
        <f t="shared" si="23"/>
        <v>-1289.5999999999999</v>
      </c>
    </row>
    <row r="53" spans="1:24" s="138" customFormat="1" x14ac:dyDescent="0.2">
      <c r="A53" s="139" t="s">
        <v>410</v>
      </c>
      <c r="B53" s="139" t="s">
        <v>160</v>
      </c>
      <c r="C53" s="60">
        <f>-632.2-C54-C55-C56-C57-C58</f>
        <v>-341.7</v>
      </c>
      <c r="D53" s="61">
        <f>-590.7-D54-D55-D56-D57-D58</f>
        <v>-339.7</v>
      </c>
      <c r="E53" s="61">
        <f>-521.8-E54-E55-E56-E57-E58</f>
        <v>-281.7</v>
      </c>
      <c r="F53" s="61">
        <f>-526.1-F54-F55-F56-F57-F58</f>
        <v>-277.3</v>
      </c>
      <c r="G53" s="60">
        <f>-539.2-G54-G55-G56-G57-G58</f>
        <v>-285.89999999999998</v>
      </c>
      <c r="H53" s="61">
        <f>-372.9-H54-H55-H56-H57-H58</f>
        <v>-219.49999999999997</v>
      </c>
      <c r="I53" s="61">
        <f>-393.6-I54-I55-I56-I57-I58</f>
        <v>-235.50000000000003</v>
      </c>
      <c r="J53" s="62">
        <f>-482.3-J54-J55-J56-J57-J58</f>
        <v>-286.60000000000002</v>
      </c>
      <c r="K53" s="60">
        <f>-654.1-K54-K55-K56-K57-K58</f>
        <v>-443.2</v>
      </c>
      <c r="L53" s="61">
        <f>-755.8-L54-L55-L56-L57-L58</f>
        <v>-534.79999999999995</v>
      </c>
      <c r="M53" s="61">
        <f>-804.9-M54-M55-M56-M57-M58</f>
        <v>-558.80000000000007</v>
      </c>
      <c r="N53" s="62">
        <f>-874.1-N54-N55-N56-N57-N58</f>
        <v>-605.6</v>
      </c>
      <c r="O53" s="60">
        <f>-930.9-O54-O55-O56-O57-O58</f>
        <v>-642.6</v>
      </c>
      <c r="P53" s="61">
        <f>-972.7-P54-P55-P56-P57-P58</f>
        <v>-671.80000000000007</v>
      </c>
      <c r="Q53" s="61">
        <f>-1037.9-Q54-Q55-Q56-Q57-Q58</f>
        <v>-727.80000000000007</v>
      </c>
      <c r="R53" s="62">
        <v>-756.1</v>
      </c>
      <c r="S53" s="60">
        <v>-765.7</v>
      </c>
      <c r="T53" s="61">
        <f>-1140.6-T54-T55-T56-T57-T58</f>
        <v>-786.09999999999991</v>
      </c>
      <c r="U53" s="61">
        <f>-1182.7-U54-U55-U56-U57-U58</f>
        <v>-809.2</v>
      </c>
      <c r="V53" s="62">
        <v>-728.09999999999991</v>
      </c>
      <c r="W53" s="61">
        <v>-725.30000000000007</v>
      </c>
      <c r="X53" s="61">
        <v>-761.4</v>
      </c>
    </row>
    <row r="54" spans="1:24" s="138" customFormat="1" x14ac:dyDescent="0.2">
      <c r="A54" s="139" t="s">
        <v>411</v>
      </c>
      <c r="B54" s="139" t="s">
        <v>161</v>
      </c>
      <c r="C54" s="60">
        <v>-264.3</v>
      </c>
      <c r="D54" s="61">
        <v>-225.3</v>
      </c>
      <c r="E54" s="61">
        <v>-215.2</v>
      </c>
      <c r="F54" s="61">
        <v>-224.3</v>
      </c>
      <c r="G54" s="60">
        <v>-228.6</v>
      </c>
      <c r="H54" s="61">
        <v>-142.80000000000001</v>
      </c>
      <c r="I54" s="61">
        <v>-147.4</v>
      </c>
      <c r="J54" s="62">
        <v>-184.7</v>
      </c>
      <c r="K54" s="60">
        <v>-198.8</v>
      </c>
      <c r="L54" s="61">
        <v>-209.1</v>
      </c>
      <c r="M54" s="61">
        <v>-233.7</v>
      </c>
      <c r="N54" s="62">
        <v>-255.4</v>
      </c>
      <c r="O54" s="60">
        <v>-274.2</v>
      </c>
      <c r="P54" s="61">
        <v>-286.5</v>
      </c>
      <c r="Q54" s="61">
        <v>-299.5</v>
      </c>
      <c r="R54" s="62">
        <v>-318.39999999999998</v>
      </c>
      <c r="S54" s="60">
        <v>-349.5</v>
      </c>
      <c r="T54" s="61">
        <f>-1.1-345.7</f>
        <v>-346.8</v>
      </c>
      <c r="U54" s="61">
        <f>-1.2-363.6</f>
        <v>-364.8</v>
      </c>
      <c r="V54" s="62">
        <v>-375.8</v>
      </c>
      <c r="W54" s="61">
        <v>-394</v>
      </c>
      <c r="X54" s="61">
        <v>-422.8</v>
      </c>
    </row>
    <row r="55" spans="1:24" s="138" customFormat="1" x14ac:dyDescent="0.2">
      <c r="A55" s="59" t="s">
        <v>395</v>
      </c>
      <c r="B55" s="59" t="s">
        <v>141</v>
      </c>
      <c r="C55" s="60">
        <v>0</v>
      </c>
      <c r="D55" s="61">
        <v>0</v>
      </c>
      <c r="E55" s="61">
        <v>0</v>
      </c>
      <c r="F55" s="61">
        <v>0</v>
      </c>
      <c r="G55" s="60">
        <v>0</v>
      </c>
      <c r="H55" s="61">
        <v>0</v>
      </c>
      <c r="I55" s="61">
        <v>0</v>
      </c>
      <c r="J55" s="62">
        <v>0</v>
      </c>
      <c r="K55" s="60">
        <v>0</v>
      </c>
      <c r="L55" s="61">
        <v>0</v>
      </c>
      <c r="M55" s="61">
        <v>0</v>
      </c>
      <c r="N55" s="62">
        <v>0</v>
      </c>
      <c r="O55" s="60">
        <v>0</v>
      </c>
      <c r="P55" s="61">
        <v>0</v>
      </c>
      <c r="Q55" s="61">
        <v>0</v>
      </c>
      <c r="R55" s="62">
        <v>0</v>
      </c>
      <c r="S55" s="60">
        <v>0</v>
      </c>
      <c r="T55" s="61">
        <v>0</v>
      </c>
      <c r="U55" s="61">
        <v>0</v>
      </c>
      <c r="V55" s="62">
        <v>0</v>
      </c>
      <c r="W55" s="61">
        <v>-62.7</v>
      </c>
      <c r="X55" s="61">
        <v>-61.8</v>
      </c>
    </row>
    <row r="56" spans="1:24" s="138" customFormat="1" x14ac:dyDescent="0.2">
      <c r="A56" s="59" t="s">
        <v>396</v>
      </c>
      <c r="B56" s="59" t="s">
        <v>142</v>
      </c>
      <c r="C56" s="60">
        <f>-1.4-1.2</f>
        <v>-2.5999999999999996</v>
      </c>
      <c r="D56" s="61">
        <f>-1.4-1.2</f>
        <v>-2.5999999999999996</v>
      </c>
      <c r="E56" s="61">
        <f>-1.2-1.2</f>
        <v>-2.4</v>
      </c>
      <c r="F56" s="61">
        <f>-1.1-1.3</f>
        <v>-2.4000000000000004</v>
      </c>
      <c r="G56" s="60">
        <f>-1.3-1.3</f>
        <v>-2.6</v>
      </c>
      <c r="H56" s="61">
        <v>-1.9</v>
      </c>
      <c r="I56" s="61">
        <v>-2.1</v>
      </c>
      <c r="J56" s="62">
        <v>-2.4</v>
      </c>
      <c r="K56" s="60">
        <v>-3.5</v>
      </c>
      <c r="L56" s="61">
        <v>-2.8</v>
      </c>
      <c r="M56" s="61">
        <v>-2.9</v>
      </c>
      <c r="N56" s="62">
        <v>-2.5</v>
      </c>
      <c r="O56" s="60">
        <v>-2.2000000000000002</v>
      </c>
      <c r="P56" s="61">
        <v>-2.5</v>
      </c>
      <c r="Q56" s="61">
        <v>-2.2999999999999998</v>
      </c>
      <c r="R56" s="62">
        <v>-2.1</v>
      </c>
      <c r="S56" s="60">
        <v>-2.1</v>
      </c>
      <c r="T56" s="61">
        <v>-2.2999999999999998</v>
      </c>
      <c r="U56" s="61">
        <v>-3.2</v>
      </c>
      <c r="V56" s="62">
        <v>-3</v>
      </c>
      <c r="W56" s="61">
        <v>-7.6</v>
      </c>
      <c r="X56" s="61">
        <v>-6.1</v>
      </c>
    </row>
    <row r="57" spans="1:24" s="138" customFormat="1" x14ac:dyDescent="0.2">
      <c r="A57" s="59" t="s">
        <v>397</v>
      </c>
      <c r="B57" s="59" t="s">
        <v>143</v>
      </c>
      <c r="C57" s="60">
        <v>-15</v>
      </c>
      <c r="D57" s="61">
        <v>-14.5</v>
      </c>
      <c r="E57" s="61">
        <v>-13.9</v>
      </c>
      <c r="F57" s="61">
        <v>-13.5</v>
      </c>
      <c r="G57" s="60">
        <v>-13.5</v>
      </c>
      <c r="H57" s="61">
        <v>-0.1</v>
      </c>
      <c r="I57" s="61">
        <v>0</v>
      </c>
      <c r="J57" s="62">
        <v>0</v>
      </c>
      <c r="K57" s="60">
        <v>0</v>
      </c>
      <c r="L57" s="61">
        <v>-0.5</v>
      </c>
      <c r="M57" s="61">
        <v>-0.9</v>
      </c>
      <c r="N57" s="62">
        <v>-2</v>
      </c>
      <c r="O57" s="60">
        <v>-3.3</v>
      </c>
      <c r="P57" s="61">
        <v>-3.3</v>
      </c>
      <c r="Q57" s="61">
        <v>-3.1</v>
      </c>
      <c r="R57" s="62">
        <v>-0.2</v>
      </c>
      <c r="S57" s="60">
        <v>-0.2</v>
      </c>
      <c r="T57" s="61">
        <v>-0.2</v>
      </c>
      <c r="U57" s="61">
        <v>-0.3</v>
      </c>
      <c r="V57" s="62">
        <v>-0.2</v>
      </c>
      <c r="W57" s="61">
        <v>-0.2</v>
      </c>
      <c r="X57" s="61">
        <v>-32.299999999999997</v>
      </c>
    </row>
    <row r="58" spans="1:24" s="138" customFormat="1" x14ac:dyDescent="0.2">
      <c r="A58" s="136" t="s">
        <v>398</v>
      </c>
      <c r="B58" s="136" t="s">
        <v>154</v>
      </c>
      <c r="C58" s="60">
        <f t="shared" ref="C58:J58" si="24">-8.1-0.5</f>
        <v>-8.6</v>
      </c>
      <c r="D58" s="61">
        <f t="shared" si="24"/>
        <v>-8.6</v>
      </c>
      <c r="E58" s="61">
        <f t="shared" si="24"/>
        <v>-8.6</v>
      </c>
      <c r="F58" s="61">
        <f t="shared" si="24"/>
        <v>-8.6</v>
      </c>
      <c r="G58" s="60">
        <f t="shared" si="24"/>
        <v>-8.6</v>
      </c>
      <c r="H58" s="61">
        <f t="shared" si="24"/>
        <v>-8.6</v>
      </c>
      <c r="I58" s="61">
        <f t="shared" si="24"/>
        <v>-8.6</v>
      </c>
      <c r="J58" s="61">
        <f t="shared" si="24"/>
        <v>-8.6</v>
      </c>
      <c r="K58" s="60">
        <v>-8.6</v>
      </c>
      <c r="L58" s="61">
        <v>-8.6</v>
      </c>
      <c r="M58" s="61">
        <v>-8.6</v>
      </c>
      <c r="N58" s="62">
        <v>-8.6</v>
      </c>
      <c r="O58" s="60">
        <v>-8.6</v>
      </c>
      <c r="P58" s="61">
        <v>-8.6</v>
      </c>
      <c r="Q58" s="61">
        <v>-5.2</v>
      </c>
      <c r="R58" s="62">
        <v>-5.2</v>
      </c>
      <c r="S58" s="60">
        <v>-5.2</v>
      </c>
      <c r="T58" s="61">
        <v>-5.2</v>
      </c>
      <c r="U58" s="61">
        <v>-5.2</v>
      </c>
      <c r="V58" s="62">
        <v>-5.2</v>
      </c>
      <c r="W58" s="61">
        <v>-5.0999999999999996</v>
      </c>
      <c r="X58" s="61">
        <v>-5.2</v>
      </c>
    </row>
    <row r="59" spans="1:24" s="14" customFormat="1" ht="16.899999999999999" customHeight="1" x14ac:dyDescent="0.2">
      <c r="A59" s="109" t="s">
        <v>405</v>
      </c>
      <c r="B59" s="109" t="s">
        <v>149</v>
      </c>
      <c r="C59" s="103">
        <f>C51+C52</f>
        <v>10936.400000000001</v>
      </c>
      <c r="D59" s="104">
        <f t="shared" ref="D59:X59" si="25">D51+D52</f>
        <v>11871.6</v>
      </c>
      <c r="E59" s="104">
        <f t="shared" si="25"/>
        <v>12740.500000000002</v>
      </c>
      <c r="F59" s="104">
        <f t="shared" si="25"/>
        <v>13374.599999999999</v>
      </c>
      <c r="G59" s="103">
        <f t="shared" si="25"/>
        <v>14847.1</v>
      </c>
      <c r="H59" s="104">
        <f t="shared" si="25"/>
        <v>16219.1</v>
      </c>
      <c r="I59" s="104">
        <f t="shared" si="25"/>
        <v>18175.900000000001</v>
      </c>
      <c r="J59" s="105">
        <f>J51+J52</f>
        <v>19872.300000000003</v>
      </c>
      <c r="K59" s="103">
        <f t="shared" si="25"/>
        <v>21133</v>
      </c>
      <c r="L59" s="104">
        <f t="shared" si="25"/>
        <v>21306.3</v>
      </c>
      <c r="M59" s="104">
        <f t="shared" si="25"/>
        <v>21405.799999999996</v>
      </c>
      <c r="N59" s="105">
        <f t="shared" si="25"/>
        <v>21370.2</v>
      </c>
      <c r="O59" s="103">
        <f t="shared" si="25"/>
        <v>21705.399999999998</v>
      </c>
      <c r="P59" s="104">
        <f t="shared" si="25"/>
        <v>22864.800000000003</v>
      </c>
      <c r="Q59" s="104">
        <f t="shared" si="25"/>
        <v>24292.400000000001</v>
      </c>
      <c r="R59" s="105">
        <f t="shared" si="25"/>
        <v>25223.800000000003</v>
      </c>
      <c r="S59" s="103">
        <f t="shared" si="25"/>
        <v>26088.6</v>
      </c>
      <c r="T59" s="104">
        <f t="shared" si="25"/>
        <v>27686.600000000002</v>
      </c>
      <c r="U59" s="104">
        <f t="shared" si="25"/>
        <v>29593.499999999996</v>
      </c>
      <c r="V59" s="105">
        <f t="shared" si="25"/>
        <v>31635.799999999996</v>
      </c>
      <c r="W59" s="104">
        <f t="shared" si="25"/>
        <v>38737.599999999991</v>
      </c>
      <c r="X59" s="104">
        <f t="shared" si="25"/>
        <v>39331.9</v>
      </c>
    </row>
    <row r="60" spans="1:24" x14ac:dyDescent="0.2">
      <c r="A60" s="130"/>
      <c r="B60" s="130"/>
      <c r="C60" s="42"/>
      <c r="D60" s="43"/>
      <c r="E60" s="43"/>
      <c r="F60" s="43"/>
      <c r="G60" s="42"/>
      <c r="H60" s="43"/>
      <c r="I60" s="43"/>
      <c r="J60" s="44"/>
      <c r="K60" s="42"/>
      <c r="L60" s="43"/>
      <c r="M60" s="43"/>
      <c r="N60" s="44"/>
      <c r="O60" s="42"/>
      <c r="P60" s="43"/>
      <c r="Q60" s="43"/>
      <c r="R60" s="44"/>
      <c r="S60" s="42"/>
      <c r="T60" s="43"/>
      <c r="U60" s="43"/>
      <c r="V60" s="44"/>
      <c r="W60" s="43"/>
      <c r="X60" s="43"/>
    </row>
    <row r="61" spans="1:24" s="13" customFormat="1" ht="12" x14ac:dyDescent="0.2">
      <c r="A61" s="337" t="s">
        <v>412</v>
      </c>
      <c r="B61" s="337" t="s">
        <v>155</v>
      </c>
      <c r="C61" s="338"/>
      <c r="D61" s="339"/>
      <c r="E61" s="339"/>
      <c r="F61" s="339"/>
      <c r="G61" s="338"/>
      <c r="H61" s="339"/>
      <c r="I61" s="339"/>
      <c r="J61" s="340"/>
      <c r="K61" s="338"/>
      <c r="L61" s="339"/>
      <c r="M61" s="339"/>
      <c r="N61" s="340"/>
      <c r="O61" s="338"/>
      <c r="P61" s="339"/>
      <c r="Q61" s="339"/>
      <c r="R61" s="340"/>
      <c r="S61" s="338"/>
      <c r="T61" s="339"/>
      <c r="U61" s="339"/>
      <c r="V61" s="340"/>
      <c r="W61" s="339"/>
      <c r="X61" s="339"/>
    </row>
    <row r="62" spans="1:24" x14ac:dyDescent="0.2">
      <c r="A62" s="41"/>
      <c r="B62" s="41"/>
      <c r="C62" s="42"/>
      <c r="D62" s="43"/>
      <c r="E62" s="43"/>
      <c r="F62" s="43"/>
      <c r="G62" s="42"/>
      <c r="H62" s="43"/>
      <c r="I62" s="43"/>
      <c r="J62" s="44"/>
      <c r="K62" s="42"/>
      <c r="L62" s="43"/>
      <c r="M62" s="43"/>
      <c r="N62" s="44"/>
      <c r="O62" s="42"/>
      <c r="P62" s="43"/>
      <c r="Q62" s="43"/>
      <c r="R62" s="44"/>
      <c r="S62" s="42"/>
      <c r="T62" s="43"/>
      <c r="U62" s="43"/>
      <c r="V62" s="44"/>
      <c r="W62" s="43"/>
      <c r="X62" s="43"/>
    </row>
    <row r="63" spans="1:24" x14ac:dyDescent="0.2">
      <c r="A63" s="41" t="s">
        <v>401</v>
      </c>
      <c r="B63" s="41" t="s">
        <v>146</v>
      </c>
      <c r="C63" s="42">
        <f>SUM(C64:C65)</f>
        <v>627.50000000000011</v>
      </c>
      <c r="D63" s="43">
        <f t="shared" ref="D63:X63" si="26">SUM(D64:D65)</f>
        <v>604.30000000000007</v>
      </c>
      <c r="E63" s="43">
        <f t="shared" si="26"/>
        <v>612.6</v>
      </c>
      <c r="F63" s="43">
        <f t="shared" si="26"/>
        <v>695.8</v>
      </c>
      <c r="G63" s="42">
        <f t="shared" si="26"/>
        <v>668.8</v>
      </c>
      <c r="H63" s="43">
        <f t="shared" si="26"/>
        <v>672</v>
      </c>
      <c r="I63" s="43">
        <f t="shared" si="26"/>
        <v>684.7</v>
      </c>
      <c r="J63" s="44">
        <f t="shared" si="26"/>
        <v>970.9</v>
      </c>
      <c r="K63" s="42">
        <f t="shared" si="26"/>
        <v>926.80000000000007</v>
      </c>
      <c r="L63" s="43">
        <f t="shared" si="26"/>
        <v>958.8</v>
      </c>
      <c r="M63" s="43">
        <f t="shared" si="26"/>
        <v>1177.3</v>
      </c>
      <c r="N63" s="44">
        <f t="shared" si="26"/>
        <v>2305.3000000000002</v>
      </c>
      <c r="O63" s="42">
        <f t="shared" si="26"/>
        <v>2257</v>
      </c>
      <c r="P63" s="43">
        <f t="shared" si="26"/>
        <v>2389.1</v>
      </c>
      <c r="Q63" s="43">
        <f t="shared" si="26"/>
        <v>2472.7999999999997</v>
      </c>
      <c r="R63" s="44">
        <f t="shared" si="26"/>
        <v>2816.1</v>
      </c>
      <c r="S63" s="42">
        <f t="shared" si="26"/>
        <v>2785.1</v>
      </c>
      <c r="T63" s="43">
        <f t="shared" si="26"/>
        <v>2739.9</v>
      </c>
      <c r="U63" s="43">
        <f t="shared" si="26"/>
        <v>2890.7</v>
      </c>
      <c r="V63" s="44">
        <f t="shared" si="26"/>
        <v>3270.4999999999995</v>
      </c>
      <c r="W63" s="43">
        <f t="shared" si="26"/>
        <v>3213.8</v>
      </c>
      <c r="X63" s="43">
        <f t="shared" si="26"/>
        <v>3142.5</v>
      </c>
    </row>
    <row r="64" spans="1:24" s="138" customFormat="1" x14ac:dyDescent="0.2">
      <c r="A64" s="59" t="s">
        <v>402</v>
      </c>
      <c r="B64" s="59" t="s">
        <v>147</v>
      </c>
      <c r="C64" s="60">
        <v>5.4</v>
      </c>
      <c r="D64" s="61">
        <v>10.6</v>
      </c>
      <c r="E64" s="61">
        <v>10.3</v>
      </c>
      <c r="F64" s="61">
        <v>9.9</v>
      </c>
      <c r="G64" s="60">
        <v>12</v>
      </c>
      <c r="H64" s="61">
        <v>16.3</v>
      </c>
      <c r="I64" s="61">
        <v>12.9</v>
      </c>
      <c r="J64" s="62">
        <v>11.9</v>
      </c>
      <c r="K64" s="60">
        <v>7.9</v>
      </c>
      <c r="L64" s="61">
        <v>14.8</v>
      </c>
      <c r="M64" s="61">
        <v>16.8</v>
      </c>
      <c r="N64" s="62">
        <v>7.5</v>
      </c>
      <c r="O64" s="60">
        <v>36.5</v>
      </c>
      <c r="P64" s="61">
        <v>64</v>
      </c>
      <c r="Q64" s="61">
        <v>56</v>
      </c>
      <c r="R64" s="62">
        <v>8.4</v>
      </c>
      <c r="S64" s="60">
        <v>62.7</v>
      </c>
      <c r="T64" s="61">
        <v>64.900000000000006</v>
      </c>
      <c r="U64" s="61">
        <v>109</v>
      </c>
      <c r="V64" s="62">
        <v>34.700000000000003</v>
      </c>
      <c r="W64" s="61">
        <v>105.3</v>
      </c>
      <c r="X64" s="61">
        <v>114.5</v>
      </c>
    </row>
    <row r="65" spans="1:24" s="138" customFormat="1" x14ac:dyDescent="0.2">
      <c r="A65" s="59" t="s">
        <v>403</v>
      </c>
      <c r="B65" s="59" t="s">
        <v>148</v>
      </c>
      <c r="C65" s="60">
        <f>623.7+1.7-3.3</f>
        <v>622.10000000000014</v>
      </c>
      <c r="D65" s="61">
        <f>593.1+2-1.4</f>
        <v>593.70000000000005</v>
      </c>
      <c r="E65" s="61">
        <f>600.5+3.2-1.4</f>
        <v>602.30000000000007</v>
      </c>
      <c r="F65" s="61">
        <f>687.3-1.4</f>
        <v>685.9</v>
      </c>
      <c r="G65" s="60">
        <f>658-1.2</f>
        <v>656.8</v>
      </c>
      <c r="H65" s="61">
        <f>658.7-3</f>
        <v>655.7</v>
      </c>
      <c r="I65" s="61">
        <f>675.2-3.4</f>
        <v>671.80000000000007</v>
      </c>
      <c r="J65" s="62">
        <f>962-3</f>
        <v>959</v>
      </c>
      <c r="K65" s="60">
        <f>921.7-2.8</f>
        <v>918.90000000000009</v>
      </c>
      <c r="L65" s="61">
        <f>944.7-0.7</f>
        <v>944</v>
      </c>
      <c r="M65" s="61">
        <v>1160.5</v>
      </c>
      <c r="N65" s="62">
        <v>2297.8000000000002</v>
      </c>
      <c r="O65" s="60">
        <v>2220.5</v>
      </c>
      <c r="P65" s="61">
        <f>2325.7-0.6</f>
        <v>2325.1</v>
      </c>
      <c r="Q65" s="61">
        <f>2423.2-6.4</f>
        <v>2416.7999999999997</v>
      </c>
      <c r="R65" s="62">
        <v>2807.7</v>
      </c>
      <c r="S65" s="60">
        <v>2722.4</v>
      </c>
      <c r="T65" s="61">
        <f>-0.6+2675.6</f>
        <v>2675</v>
      </c>
      <c r="U65" s="61">
        <f>-0.8+2782.5</f>
        <v>2781.7</v>
      </c>
      <c r="V65" s="62">
        <v>3235.7999999999997</v>
      </c>
      <c r="W65" s="61">
        <v>3108.5</v>
      </c>
      <c r="X65" s="61">
        <v>3028</v>
      </c>
    </row>
    <row r="66" spans="1:24" x14ac:dyDescent="0.2">
      <c r="A66" s="41" t="s">
        <v>386</v>
      </c>
      <c r="B66" s="41" t="s">
        <v>132</v>
      </c>
      <c r="C66" s="42">
        <v>0</v>
      </c>
      <c r="D66" s="43">
        <v>0</v>
      </c>
      <c r="E66" s="43">
        <v>0</v>
      </c>
      <c r="F66" s="43">
        <v>0</v>
      </c>
      <c r="G66" s="42">
        <v>0</v>
      </c>
      <c r="H66" s="43">
        <v>0</v>
      </c>
      <c r="I66" s="43">
        <v>0</v>
      </c>
      <c r="J66" s="44">
        <v>0</v>
      </c>
      <c r="K66" s="42">
        <v>0</v>
      </c>
      <c r="L66" s="43">
        <v>0</v>
      </c>
      <c r="M66" s="43">
        <v>0</v>
      </c>
      <c r="N66" s="44">
        <v>0</v>
      </c>
      <c r="O66" s="42">
        <v>0</v>
      </c>
      <c r="P66" s="43">
        <v>0</v>
      </c>
      <c r="Q66" s="43">
        <v>0</v>
      </c>
      <c r="R66" s="44">
        <v>0</v>
      </c>
      <c r="S66" s="42">
        <v>0</v>
      </c>
      <c r="T66" s="43">
        <v>0</v>
      </c>
      <c r="U66" s="43">
        <v>0</v>
      </c>
      <c r="V66" s="44">
        <v>0</v>
      </c>
      <c r="W66" s="43">
        <v>177.5</v>
      </c>
      <c r="X66" s="43">
        <v>172.6</v>
      </c>
    </row>
    <row r="67" spans="1:24" x14ac:dyDescent="0.2">
      <c r="A67" s="41" t="s">
        <v>387</v>
      </c>
      <c r="B67" s="41" t="s">
        <v>133</v>
      </c>
      <c r="C67" s="42">
        <f>3.3</f>
        <v>3.3</v>
      </c>
      <c r="D67" s="43">
        <f>1.4</f>
        <v>1.4</v>
      </c>
      <c r="E67" s="43">
        <f>1.4</f>
        <v>1.4</v>
      </c>
      <c r="F67" s="43">
        <f>1.4</f>
        <v>1.4</v>
      </c>
      <c r="G67" s="42">
        <v>1.2</v>
      </c>
      <c r="H67" s="43">
        <v>3</v>
      </c>
      <c r="I67" s="43">
        <v>3.4</v>
      </c>
      <c r="J67" s="44">
        <v>3</v>
      </c>
      <c r="K67" s="42">
        <v>2.8</v>
      </c>
      <c r="L67" s="43">
        <v>0.7</v>
      </c>
      <c r="M67" s="43">
        <v>0</v>
      </c>
      <c r="N67" s="44">
        <v>0</v>
      </c>
      <c r="O67" s="42">
        <v>0</v>
      </c>
      <c r="P67" s="43">
        <v>0.6</v>
      </c>
      <c r="Q67" s="43">
        <v>6.4</v>
      </c>
      <c r="R67" s="44">
        <v>4.4000000000000004</v>
      </c>
      <c r="S67" s="42">
        <v>4</v>
      </c>
      <c r="T67" s="43">
        <v>0.6</v>
      </c>
      <c r="U67" s="43">
        <v>0.8</v>
      </c>
      <c r="V67" s="44">
        <v>2.2999999999999998</v>
      </c>
      <c r="W67" s="43">
        <v>5.7</v>
      </c>
      <c r="X67" s="43">
        <v>18.899999999999999</v>
      </c>
    </row>
    <row r="68" spans="1:24" x14ac:dyDescent="0.2">
      <c r="A68" s="41" t="s">
        <v>388</v>
      </c>
      <c r="B68" s="41" t="s">
        <v>134</v>
      </c>
      <c r="C68" s="42">
        <v>0</v>
      </c>
      <c r="D68" s="43">
        <v>0</v>
      </c>
      <c r="E68" s="43">
        <v>0</v>
      </c>
      <c r="F68" s="43">
        <v>0</v>
      </c>
      <c r="G68" s="42">
        <v>0</v>
      </c>
      <c r="H68" s="43">
        <v>0</v>
      </c>
      <c r="I68" s="43">
        <v>0</v>
      </c>
      <c r="J68" s="44">
        <v>1735.1</v>
      </c>
      <c r="K68" s="42">
        <v>3857.7</v>
      </c>
      <c r="L68" s="43">
        <v>3522.2</v>
      </c>
      <c r="M68" s="43">
        <v>3445.4</v>
      </c>
      <c r="N68" s="44">
        <v>3600.8</v>
      </c>
      <c r="O68" s="42">
        <v>3500</v>
      </c>
      <c r="P68" s="43">
        <v>3852.9</v>
      </c>
      <c r="Q68" s="43">
        <v>3880.2</v>
      </c>
      <c r="R68" s="44">
        <v>3799.8</v>
      </c>
      <c r="S68" s="42">
        <v>3751.7</v>
      </c>
      <c r="T68" s="43">
        <v>3719.4</v>
      </c>
      <c r="U68" s="43">
        <v>4342.8</v>
      </c>
      <c r="V68" s="44">
        <v>4513.5</v>
      </c>
      <c r="W68" s="43">
        <v>4335.2</v>
      </c>
      <c r="X68" s="43">
        <v>4449</v>
      </c>
    </row>
    <row r="69" spans="1:24" s="138" customFormat="1" ht="22.5" x14ac:dyDescent="0.2">
      <c r="A69" s="59" t="s">
        <v>593</v>
      </c>
      <c r="B69" s="59" t="s">
        <v>591</v>
      </c>
      <c r="C69" s="60">
        <v>0</v>
      </c>
      <c r="D69" s="61">
        <v>0</v>
      </c>
      <c r="E69" s="61">
        <v>0</v>
      </c>
      <c r="F69" s="61">
        <v>0</v>
      </c>
      <c r="G69" s="60">
        <v>0</v>
      </c>
      <c r="H69" s="61">
        <v>0</v>
      </c>
      <c r="I69" s="61">
        <v>0</v>
      </c>
      <c r="J69" s="62">
        <v>1654</v>
      </c>
      <c r="K69" s="60">
        <v>3775.2</v>
      </c>
      <c r="L69" s="61">
        <v>3439.1</v>
      </c>
      <c r="M69" s="61">
        <v>3348.9</v>
      </c>
      <c r="N69" s="62">
        <v>3261.9</v>
      </c>
      <c r="O69" s="60">
        <v>3147.9</v>
      </c>
      <c r="P69" s="61">
        <v>3447.7</v>
      </c>
      <c r="Q69" s="61">
        <v>3425.1</v>
      </c>
      <c r="R69" s="62">
        <v>3268.5</v>
      </c>
      <c r="S69" s="60">
        <v>3215.6</v>
      </c>
      <c r="T69" s="61">
        <v>3189</v>
      </c>
      <c r="U69" s="61">
        <v>3786.2</v>
      </c>
      <c r="V69" s="62">
        <v>3872.6</v>
      </c>
      <c r="W69" s="61">
        <v>3680.7</v>
      </c>
      <c r="X69" s="61">
        <v>3758.2</v>
      </c>
    </row>
    <row r="70" spans="1:24" x14ac:dyDescent="0.2">
      <c r="A70" s="41" t="s">
        <v>391</v>
      </c>
      <c r="B70" s="41" t="s">
        <v>137</v>
      </c>
      <c r="C70" s="42">
        <v>0</v>
      </c>
      <c r="D70" s="43">
        <v>0</v>
      </c>
      <c r="E70" s="43">
        <v>0</v>
      </c>
      <c r="F70" s="43">
        <v>0</v>
      </c>
      <c r="G70" s="42">
        <v>0</v>
      </c>
      <c r="H70" s="43">
        <v>0</v>
      </c>
      <c r="I70" s="43">
        <v>0</v>
      </c>
      <c r="J70" s="44">
        <v>0</v>
      </c>
      <c r="K70" s="42">
        <v>0</v>
      </c>
      <c r="L70" s="43">
        <v>0.1</v>
      </c>
      <c r="M70" s="43">
        <v>0.1</v>
      </c>
      <c r="N70" s="44">
        <v>0</v>
      </c>
      <c r="O70" s="42">
        <v>0.1</v>
      </c>
      <c r="P70" s="43">
        <v>0</v>
      </c>
      <c r="Q70" s="43">
        <v>0.2</v>
      </c>
      <c r="R70" s="44">
        <v>0.1</v>
      </c>
      <c r="S70" s="42">
        <v>0.1</v>
      </c>
      <c r="T70" s="43">
        <v>0.3</v>
      </c>
      <c r="U70" s="43">
        <v>0.1</v>
      </c>
      <c r="V70" s="44">
        <v>0.1</v>
      </c>
      <c r="W70" s="43">
        <v>0</v>
      </c>
      <c r="X70" s="43">
        <v>0.1</v>
      </c>
    </row>
    <row r="71" spans="1:24" s="13" customFormat="1" ht="12" x14ac:dyDescent="0.2">
      <c r="A71" s="11" t="s">
        <v>404</v>
      </c>
      <c r="B71" s="11" t="s">
        <v>138</v>
      </c>
      <c r="C71" s="345">
        <f>C63+C66+C67+C68+C70</f>
        <v>630.80000000000007</v>
      </c>
      <c r="D71" s="346">
        <f t="shared" ref="D71:X71" si="27">D63+D66+D67+D68+D70</f>
        <v>605.70000000000005</v>
      </c>
      <c r="E71" s="346">
        <f t="shared" si="27"/>
        <v>614</v>
      </c>
      <c r="F71" s="346">
        <f t="shared" si="27"/>
        <v>697.19999999999993</v>
      </c>
      <c r="G71" s="345">
        <f t="shared" si="27"/>
        <v>670</v>
      </c>
      <c r="H71" s="346">
        <f t="shared" si="27"/>
        <v>675</v>
      </c>
      <c r="I71" s="346">
        <f t="shared" si="27"/>
        <v>688.1</v>
      </c>
      <c r="J71" s="347">
        <f t="shared" si="27"/>
        <v>2709</v>
      </c>
      <c r="K71" s="345">
        <f t="shared" si="27"/>
        <v>4787.3</v>
      </c>
      <c r="L71" s="346">
        <f t="shared" si="27"/>
        <v>4481.8</v>
      </c>
      <c r="M71" s="346">
        <f t="shared" si="27"/>
        <v>4622.8</v>
      </c>
      <c r="N71" s="347">
        <f t="shared" si="27"/>
        <v>5906.1</v>
      </c>
      <c r="O71" s="345">
        <f t="shared" si="27"/>
        <v>5757.1</v>
      </c>
      <c r="P71" s="346">
        <f t="shared" si="27"/>
        <v>6242.6</v>
      </c>
      <c r="Q71" s="346">
        <f t="shared" si="27"/>
        <v>6359.5999999999995</v>
      </c>
      <c r="R71" s="347">
        <f t="shared" si="27"/>
        <v>6620.4000000000005</v>
      </c>
      <c r="S71" s="345">
        <f t="shared" si="27"/>
        <v>6540.9</v>
      </c>
      <c r="T71" s="346">
        <f t="shared" si="27"/>
        <v>6460.2</v>
      </c>
      <c r="U71" s="346">
        <f t="shared" si="27"/>
        <v>7234.4000000000005</v>
      </c>
      <c r="V71" s="347">
        <f t="shared" si="27"/>
        <v>7786.4</v>
      </c>
      <c r="W71" s="346">
        <f t="shared" si="27"/>
        <v>7732.2</v>
      </c>
      <c r="X71" s="346">
        <f t="shared" si="27"/>
        <v>7783.1</v>
      </c>
    </row>
    <row r="72" spans="1:24" x14ac:dyDescent="0.2">
      <c r="A72" s="41" t="s">
        <v>393</v>
      </c>
      <c r="B72" s="41" t="s">
        <v>139</v>
      </c>
      <c r="C72" s="42">
        <f>SUM(C73)</f>
        <v>-34.700000000000003</v>
      </c>
      <c r="D72" s="43">
        <f t="shared" ref="D72:X72" si="28">SUM(D73)</f>
        <v>-32.6</v>
      </c>
      <c r="E72" s="43">
        <f t="shared" si="28"/>
        <v>-30.8</v>
      </c>
      <c r="F72" s="43">
        <f t="shared" si="28"/>
        <v>-29.5</v>
      </c>
      <c r="G72" s="42">
        <f t="shared" si="28"/>
        <v>-28.4</v>
      </c>
      <c r="H72" s="43">
        <f t="shared" si="28"/>
        <v>-26.9</v>
      </c>
      <c r="I72" s="43">
        <f t="shared" si="28"/>
        <v>-17.2</v>
      </c>
      <c r="J72" s="44">
        <f t="shared" si="28"/>
        <v>-17.899999999999999</v>
      </c>
      <c r="K72" s="42">
        <f t="shared" si="28"/>
        <v>-17.2</v>
      </c>
      <c r="L72" s="43">
        <f t="shared" si="28"/>
        <v>-7.5</v>
      </c>
      <c r="M72" s="43">
        <f t="shared" si="28"/>
        <v>-2.9</v>
      </c>
      <c r="N72" s="44">
        <f t="shared" si="28"/>
        <v>-5.4</v>
      </c>
      <c r="O72" s="42">
        <f t="shared" si="28"/>
        <v>-2.2000000000000002</v>
      </c>
      <c r="P72" s="43">
        <f t="shared" si="28"/>
        <v>-2.2000000000000002</v>
      </c>
      <c r="Q72" s="43">
        <f t="shared" si="28"/>
        <v>-2.2999999999999998</v>
      </c>
      <c r="R72" s="44">
        <f t="shared" si="28"/>
        <v>-1.5</v>
      </c>
      <c r="S72" s="42">
        <f t="shared" si="28"/>
        <v>-1.5</v>
      </c>
      <c r="T72" s="43">
        <f t="shared" si="28"/>
        <v>-1.4</v>
      </c>
      <c r="U72" s="43">
        <f t="shared" si="28"/>
        <v>-1.5</v>
      </c>
      <c r="V72" s="44">
        <f t="shared" si="28"/>
        <v>-1.4</v>
      </c>
      <c r="W72" s="43">
        <f t="shared" si="28"/>
        <v>-1.4</v>
      </c>
      <c r="X72" s="43">
        <f t="shared" si="28"/>
        <v>-1.5</v>
      </c>
    </row>
    <row r="73" spans="1:24" s="138" customFormat="1" x14ac:dyDescent="0.2">
      <c r="A73" s="136" t="s">
        <v>394</v>
      </c>
      <c r="B73" s="136" t="s">
        <v>140</v>
      </c>
      <c r="C73" s="60">
        <v>-34.700000000000003</v>
      </c>
      <c r="D73" s="61">
        <v>-32.6</v>
      </c>
      <c r="E73" s="61">
        <v>-30.8</v>
      </c>
      <c r="F73" s="61">
        <v>-29.5</v>
      </c>
      <c r="G73" s="60">
        <v>-28.4</v>
      </c>
      <c r="H73" s="61">
        <v>-26.9</v>
      </c>
      <c r="I73" s="61">
        <v>-17.2</v>
      </c>
      <c r="J73" s="62">
        <v>-17.899999999999999</v>
      </c>
      <c r="K73" s="60">
        <v>-17.2</v>
      </c>
      <c r="L73" s="61">
        <v>-7.5</v>
      </c>
      <c r="M73" s="61">
        <v>-2.9</v>
      </c>
      <c r="N73" s="62">
        <v>-5.4</v>
      </c>
      <c r="O73" s="60">
        <v>-2.2000000000000002</v>
      </c>
      <c r="P73" s="61">
        <v>-2.2000000000000002</v>
      </c>
      <c r="Q73" s="61">
        <v>-2.2999999999999998</v>
      </c>
      <c r="R73" s="62">
        <v>-1.5</v>
      </c>
      <c r="S73" s="60">
        <v>-1.5</v>
      </c>
      <c r="T73" s="61">
        <v>-1.4</v>
      </c>
      <c r="U73" s="61">
        <v>-1.5</v>
      </c>
      <c r="V73" s="62">
        <v>-1.4</v>
      </c>
      <c r="W73" s="61">
        <v>-1.4</v>
      </c>
      <c r="X73" s="61">
        <v>-1.5</v>
      </c>
    </row>
    <row r="74" spans="1:24" s="14" customFormat="1" ht="18.600000000000001" customHeight="1" x14ac:dyDescent="0.2">
      <c r="A74" s="109" t="s">
        <v>405</v>
      </c>
      <c r="B74" s="109" t="s">
        <v>149</v>
      </c>
      <c r="C74" s="103">
        <f>C71+C72</f>
        <v>596.1</v>
      </c>
      <c r="D74" s="104">
        <f t="shared" ref="D74:X74" si="29">D71+D72</f>
        <v>573.1</v>
      </c>
      <c r="E74" s="104">
        <f t="shared" si="29"/>
        <v>583.20000000000005</v>
      </c>
      <c r="F74" s="104">
        <f t="shared" si="29"/>
        <v>667.69999999999993</v>
      </c>
      <c r="G74" s="103">
        <f t="shared" si="29"/>
        <v>641.6</v>
      </c>
      <c r="H74" s="104">
        <f t="shared" si="29"/>
        <v>648.1</v>
      </c>
      <c r="I74" s="104">
        <f t="shared" si="29"/>
        <v>670.9</v>
      </c>
      <c r="J74" s="105">
        <f t="shared" si="29"/>
        <v>2691.1</v>
      </c>
      <c r="K74" s="103">
        <f t="shared" si="29"/>
        <v>4770.1000000000004</v>
      </c>
      <c r="L74" s="104">
        <f t="shared" si="29"/>
        <v>4474.3</v>
      </c>
      <c r="M74" s="104">
        <f t="shared" si="29"/>
        <v>4619.9000000000005</v>
      </c>
      <c r="N74" s="105">
        <f t="shared" si="29"/>
        <v>5900.7000000000007</v>
      </c>
      <c r="O74" s="103">
        <f t="shared" si="29"/>
        <v>5754.9000000000005</v>
      </c>
      <c r="P74" s="104">
        <f t="shared" si="29"/>
        <v>6240.4000000000005</v>
      </c>
      <c r="Q74" s="104">
        <f t="shared" si="29"/>
        <v>6357.2999999999993</v>
      </c>
      <c r="R74" s="105">
        <f t="shared" si="29"/>
        <v>6618.9000000000005</v>
      </c>
      <c r="S74" s="103">
        <f t="shared" si="29"/>
        <v>6539.4</v>
      </c>
      <c r="T74" s="104">
        <f t="shared" si="29"/>
        <v>6458.8</v>
      </c>
      <c r="U74" s="104">
        <f t="shared" si="29"/>
        <v>7232.9000000000005</v>
      </c>
      <c r="V74" s="105">
        <f t="shared" si="29"/>
        <v>7785</v>
      </c>
      <c r="W74" s="104">
        <f t="shared" si="29"/>
        <v>7730.8</v>
      </c>
      <c r="X74" s="104">
        <f t="shared" si="29"/>
        <v>7781.6</v>
      </c>
    </row>
    <row r="76" spans="1:24" s="120" customFormat="1" ht="11.25" hidden="1" x14ac:dyDescent="0.2">
      <c r="A76" s="118"/>
      <c r="B76" s="118" t="s">
        <v>592</v>
      </c>
      <c r="C76" s="119">
        <f>C19-[1]Bilans!B13</f>
        <v>0</v>
      </c>
      <c r="D76" s="119">
        <f>D19-[1]Bilans!C13</f>
        <v>0</v>
      </c>
      <c r="E76" s="119">
        <f>E19-[1]Bilans!D13</f>
        <v>0</v>
      </c>
      <c r="F76" s="119">
        <f>F19-[1]Bilans!E13</f>
        <v>0</v>
      </c>
      <c r="G76" s="119">
        <f>G19-[1]Bilans!F13</f>
        <v>0</v>
      </c>
      <c r="H76" s="119">
        <f>H19-[1]Bilans!G13</f>
        <v>0</v>
      </c>
      <c r="I76" s="119">
        <f>I19-[1]Bilans!H13</f>
        <v>0</v>
      </c>
      <c r="J76" s="119">
        <f>J19-[1]Bilans!I13</f>
        <v>0</v>
      </c>
      <c r="K76" s="119">
        <f>K19-[1]Bilans!J13</f>
        <v>0</v>
      </c>
      <c r="L76" s="119">
        <f>L19-[1]Bilans!K13</f>
        <v>0</v>
      </c>
      <c r="M76" s="119">
        <f>M19-[1]Bilans!L13</f>
        <v>0</v>
      </c>
      <c r="N76" s="119">
        <f>N19-[1]Bilans!M13</f>
        <v>0</v>
      </c>
      <c r="O76" s="119">
        <f>O19-[1]Bilans!N13</f>
        <v>0</v>
      </c>
      <c r="P76" s="119">
        <f>P19-[1]Bilans!O13</f>
        <v>0</v>
      </c>
      <c r="Q76" s="119">
        <f>Q19-[1]Bilans!P13</f>
        <v>0</v>
      </c>
      <c r="R76" s="119">
        <f>R19-[1]Bilans!Q13</f>
        <v>0</v>
      </c>
      <c r="S76" s="119">
        <f>S19-[1]Bilans!R13</f>
        <v>0</v>
      </c>
      <c r="T76" s="119">
        <f>T19-[1]Bilans!S13</f>
        <v>0</v>
      </c>
      <c r="U76" s="119">
        <f>U19-[1]Bilans!T13</f>
        <v>0</v>
      </c>
      <c r="V76" s="119">
        <f>V19-[1]Bilans!U13</f>
        <v>0</v>
      </c>
      <c r="W76" s="119">
        <f>W19-[1]Bilans!V13</f>
        <v>0</v>
      </c>
      <c r="X76" s="119">
        <f>X19-[1]Bilans!W13</f>
        <v>0</v>
      </c>
    </row>
  </sheetData>
  <mergeCells count="8">
    <mergeCell ref="S2:V2"/>
    <mergeCell ref="W2:X2"/>
    <mergeCell ref="A2:A3"/>
    <mergeCell ref="B2:B3"/>
    <mergeCell ref="C2:F2"/>
    <mergeCell ref="G2:J2"/>
    <mergeCell ref="K2:N2"/>
    <mergeCell ref="O2:R2"/>
  </mergeCells>
  <printOptions horizontalCentered="1"/>
  <pageMargins left="0.25" right="0.25" top="0.75" bottom="0.75" header="0.3" footer="0.3"/>
  <pageSetup paperSize="9" scale="50" orientation="landscape" r:id="rId1"/>
  <headerFooter alignWithMargins="0">
    <oddHeader xml:space="preserve">&amp;C&amp;"Times New Roman,Kursywa"&amp;12
</oddHeader>
  </headerFooter>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Arkusze</vt:lpstr>
      </vt:variant>
      <vt:variant>
        <vt:i4>15</vt:i4>
      </vt:variant>
      <vt:variant>
        <vt:lpstr>Zakresy nazwane</vt:lpstr>
      </vt:variant>
      <vt:variant>
        <vt:i4>15</vt:i4>
      </vt:variant>
    </vt:vector>
  </HeadingPairs>
  <TitlesOfParts>
    <vt:vector size="30" baseType="lpstr">
      <vt:lpstr>Kluczowe informacje_Key data</vt:lpstr>
      <vt:lpstr>RZiS_P&amp;L</vt:lpstr>
      <vt:lpstr>RZiS B. Detaliczna_P&amp;L Retail</vt:lpstr>
      <vt:lpstr>RZiS B. Korp._P&amp;L Corporate</vt:lpstr>
      <vt:lpstr>Wynik odsetkowy_Interest income</vt:lpstr>
      <vt:lpstr>Wynik prowizyjny_F&amp;C income</vt:lpstr>
      <vt:lpstr>Pozost. przychodzy_Other income</vt:lpstr>
      <vt:lpstr>Bilans_BS</vt:lpstr>
      <vt:lpstr>Kredyty_loans</vt:lpstr>
      <vt:lpstr>Jakość portfela_Portf. quality</vt:lpstr>
      <vt:lpstr>Aktywa finans_Financial assets</vt:lpstr>
      <vt:lpstr>Depozyty i zobow_Deposits &amp;liab</vt:lpstr>
      <vt:lpstr>Współcz wypł__CAR_GROUP</vt:lpstr>
      <vt:lpstr>Współcz wypł_CAR_SOLO</vt:lpstr>
      <vt:lpstr>Pozostałe informacje_other info</vt:lpstr>
      <vt:lpstr>'Aktywa finans_Financial assets'!Obszar_wydruku</vt:lpstr>
      <vt:lpstr>Bilans_BS!Obszar_wydruku</vt:lpstr>
      <vt:lpstr>'Depozyty i zobow_Deposits &amp;liab'!Obszar_wydruku</vt:lpstr>
      <vt:lpstr>'Jakość portfela_Portf. quality'!Obszar_wydruku</vt:lpstr>
      <vt:lpstr>'Kluczowe informacje_Key data'!Obszar_wydruku</vt:lpstr>
      <vt:lpstr>Kredyty_loans!Obszar_wydruku</vt:lpstr>
      <vt:lpstr>'Pozost. przychodzy_Other income'!Obszar_wydruku</vt:lpstr>
      <vt:lpstr>'Pozostałe informacje_other info'!Obszar_wydruku</vt:lpstr>
      <vt:lpstr>'RZiS B. Detaliczna_P&amp;L Retail'!Obszar_wydruku</vt:lpstr>
      <vt:lpstr>'RZiS B. Korp._P&amp;L Corporate'!Obszar_wydruku</vt:lpstr>
      <vt:lpstr>'RZiS_P&amp;L'!Obszar_wydruku</vt:lpstr>
      <vt:lpstr>'Współcz wypł__CAR_GROUP'!Obszar_wydruku</vt:lpstr>
      <vt:lpstr>'Współcz wypł_CAR_SOLO'!Obszar_wydruku</vt:lpstr>
      <vt:lpstr>'Wynik odsetkowy_Interest income'!Obszar_wydruku</vt:lpstr>
      <vt:lpstr>'Wynik prowizyjny_F&amp;C income'!Obszar_wydruku</vt:lpstr>
    </vt:vector>
  </TitlesOfParts>
  <Company/>
  <LinksUpToDate>false</LinksUpToDate>
  <SharedDoc>false</SharedDoc>
  <HyperlinksChanged>false</HyperlinksChanged>
  <AppVersion/>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lastModifiedBy>Przychodzeń Karol BANK</cp:lastModifiedBy>
</cp:coreProperties>
</file>