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4" yWindow="0" windowWidth="9672" windowHeight="8196" tabRatio="666" activeTab="0"/>
  </bookViews>
  <sheets>
    <sheet name="Kluczowe informacje_Key data" sheetId="1" r:id="rId1"/>
    <sheet name="RZiS_P&amp;L" sheetId="2" r:id="rId2"/>
    <sheet name="RZiS B. Korp._P&amp;L Corporate" sheetId="3" r:id="rId3"/>
    <sheet name="RZiS B. Detaliczna_P&amp;L Retail" sheetId="4" r:id="rId4"/>
    <sheet name="Wynik odsetkowy_Interest income" sheetId="5" r:id="rId5"/>
    <sheet name="Wynik prowizyjny_F&amp;C income" sheetId="6" r:id="rId6"/>
    <sheet name="Pozost. przychody_Other income" sheetId="7" r:id="rId7"/>
    <sheet name="Bilans_BS" sheetId="8" r:id="rId8"/>
    <sheet name="Kredyty_loans" sheetId="9" r:id="rId9"/>
    <sheet name="Jakość portfela_Portf. quality" sheetId="10" r:id="rId10"/>
    <sheet name="Aktywa finans_Financial assets" sheetId="11" r:id="rId11"/>
    <sheet name="Depozyty i zobow_Deposits &amp;liab" sheetId="12" r:id="rId12"/>
    <sheet name="Łączny współ kap_TCR_GROUP" sheetId="13" r:id="rId13"/>
    <sheet name="Pozostałe informacje_other info" sheetId="14" r:id="rId14"/>
  </sheets>
  <definedNames>
    <definedName name="_xlnm.Print_Area" localSheetId="10">'Aktywa finans_Financial assets'!$A$1:$AG$21</definedName>
    <definedName name="_xlnm.Print_Area" localSheetId="7">'Bilans_BS'!$A$1:$AG$60</definedName>
    <definedName name="_xlnm.Print_Area" localSheetId="11">'Depozyty i zobow_Deposits &amp;liab'!$A$1:$AG$41</definedName>
    <definedName name="_xlnm.Print_Area" localSheetId="9">'Jakość portfela_Portf. quality'!$A$1:$AG$38</definedName>
    <definedName name="_xlnm.Print_Area" localSheetId="0">'Kluczowe informacje_Key data'!$A$1:$AG$55</definedName>
    <definedName name="_xlnm.Print_Area" localSheetId="8">'Kredyty_loans'!$A$1:$AG$86</definedName>
    <definedName name="_xlnm.Print_Area" localSheetId="12">'Łączny współ kap_TCR_GROUP'!$A$1:$AG$81</definedName>
    <definedName name="_xlnm.Print_Area" localSheetId="6">'Pozost. przychody_Other income'!$A$1:$AG$30</definedName>
    <definedName name="_xlnm.Print_Area" localSheetId="13">'Pozostałe informacje_other info'!$A$1:$AG$19</definedName>
    <definedName name="_xlnm.Print_Area" localSheetId="3">'RZiS B. Detaliczna_P&amp;L Retail'!$A$1:$AG$18</definedName>
    <definedName name="_xlnm.Print_Area" localSheetId="2">'RZiS B. Korp._P&amp;L Corporate'!$A$1:$AG$18</definedName>
    <definedName name="_xlnm.Print_Area" localSheetId="1">'RZiS_P&amp;L'!$A$1:$AG$27</definedName>
    <definedName name="_xlnm.Print_Area" localSheetId="4">'Wynik odsetkowy_Interest income'!$A$1:$AG$27</definedName>
    <definedName name="_xlnm.Print_Area" localSheetId="5">'Wynik prowizyjny_F&amp;C income'!$A$1:$AG$23</definedName>
  </definedNames>
  <calcPr fullCalcOnLoad="1"/>
</workbook>
</file>

<file path=xl/comments13.xml><?xml version="1.0" encoding="utf-8"?>
<comments xmlns="http://schemas.openxmlformats.org/spreadsheetml/2006/main">
  <authors>
    <author>Cimander Mariola</author>
  </authors>
  <commentList>
    <comment ref="G11" authorId="0">
      <text>
        <r>
          <rPr>
            <sz val="8"/>
            <rFont val="Tahoma"/>
            <family val="2"/>
          </rPr>
          <t>Do końca 2007 roku Bank kalkulował bazę kapitałową oraz wymogi kapitałowe zgodnie z postanowieniami Basel I.
Począwszy od roku 2008 kalkulacja współczynnika odbywała się w oparciu o postanowienia Basel II.
By the end of 2007, the Bank had calculated capital base and capital requirements in accordance  with the provisions of Basel I.
Starting from2008, the rate calculation was based on the provisions of Basel II.</t>
        </r>
      </text>
    </comment>
    <comment ref="V11" authorId="0">
      <text>
        <r>
          <rPr>
            <sz val="8"/>
            <rFont val="Tahoma"/>
            <family val="2"/>
          </rPr>
          <t>Począwszy od grudnia 2011 Bank kalkuluje bazę kapitałową oraz wymóg kapitałowy z tytułu ryzyka kredytowego z wykorzystaniem metody zaawansowanej AIRB (wcześniej SA). 
W okresie przejściowym (do połowy roku 2013) w przypadku gdy wymóg kapitałowy z tytułu ryzyka kredytowego wg metody AIRB był niższy niż wg metody SA do obliczenia przyjmowało się metodę SA, przy czym bazę kapitałową (fundusze własne) przyjmowało się wg metody AIRB.
As of December 2011 the Bank calculates the capital base and capital requirement for credit risk using an advanced method AIRB (formerly SA).
During the transitional period (until mid-2013) for the capital requirement for credit risk computed with AIRB being lower than the capital requirement for credit risk computed using SA, the Bank should use in calculation SA method, while the capital base (own funds) should be met by AIRB.</t>
        </r>
      </text>
    </comment>
    <comment ref="AE11" authorId="0">
      <text>
        <r>
          <rPr>
            <sz val="8"/>
            <rFont val="Tahoma"/>
            <family val="2"/>
          </rPr>
          <t>Począwszy od roku 2014 kalkulacja łącznego współczynnika kapitałowego (dawniej  współczynnik wypłacalności) odbywa się w oparciu o postanowienia Basel III, z uwzględnieniem tzw. opcji narodowych według stanu dotychczasowego (np. wagi ryzyka dla kredytów hipotecznych).
Starting from 2014, the total capital ratio (solvency ratio previously) calculation is based on the provisions of Basel III, taking account of the so-called national options to-date (e.g. risk weights for mortgage loans).</t>
        </r>
      </text>
    </comment>
  </commentList>
</comments>
</file>

<file path=xl/sharedStrings.xml><?xml version="1.0" encoding="utf-8"?>
<sst xmlns="http://schemas.openxmlformats.org/spreadsheetml/2006/main" count="1731" uniqueCount="712">
  <si>
    <t xml:space="preserve"> - Przychody z tytułu odsetek</t>
  </si>
  <si>
    <t xml:space="preserve"> - Koszty odsetek</t>
  </si>
  <si>
    <t>Wynik z tytułu odsetek</t>
  </si>
  <si>
    <t xml:space="preserve"> - Przychody z tytułu prowizji</t>
  </si>
  <si>
    <t xml:space="preserve"> - Koszty prowizji</t>
  </si>
  <si>
    <t>Wynik z tytułu prowizji</t>
  </si>
  <si>
    <t>Wynik na działalności podstawowej</t>
  </si>
  <si>
    <t xml:space="preserve">Zysk (strata) brutto </t>
  </si>
  <si>
    <t xml:space="preserve"> - Podatek dochodowy </t>
  </si>
  <si>
    <t>Zysk (strata) netto</t>
  </si>
  <si>
    <t xml:space="preserve">   - przypadający akcjonariuszom niekontrolującym</t>
  </si>
  <si>
    <t>SKONSOLIDOWANY RACHUNEK ZYSKÓW I STRAT
Grupy Kapitałowej ING Banku Śląskiego S.A.</t>
  </si>
  <si>
    <t>(w mln zł)</t>
  </si>
  <si>
    <t>A K T Y W A</t>
  </si>
  <si>
    <t xml:space="preserve">   - Kasa, środki w Banku Centralnym </t>
  </si>
  <si>
    <t xml:space="preserve">   - Kredyty i inne należności udzielone innym bankom</t>
  </si>
  <si>
    <t xml:space="preserve">   - Aktywa finansowe wyceniane do wartości godziwej przez rachunek zysków i strat</t>
  </si>
  <si>
    <t xml:space="preserve">   - Wycena instrumentów pochodnych</t>
  </si>
  <si>
    <t xml:space="preserve">          - dostępne do sprzedaży</t>
  </si>
  <si>
    <t xml:space="preserve">          - utrzymywane do terminu wymagalności</t>
  </si>
  <si>
    <t xml:space="preserve">   - Pochodne instrumenty zabezpieczające</t>
  </si>
  <si>
    <t xml:space="preserve">   - Kredyty i inne należności udzielone klientom</t>
  </si>
  <si>
    <t xml:space="preserve">   - Inne aktywa </t>
  </si>
  <si>
    <t>A k t y w a   r a z e m</t>
  </si>
  <si>
    <t>Z O B O W I Ą Z A N I A   I   K A P I T A Ł Y</t>
  </si>
  <si>
    <t>ZOBOWIĄZANIA</t>
  </si>
  <si>
    <t xml:space="preserve">   - Zobowiązania wobec innych banków</t>
  </si>
  <si>
    <t xml:space="preserve">   - Zobowiązania finansowe wyceniane do wartości godziwej przez rachunek zysków i strat</t>
  </si>
  <si>
    <t xml:space="preserve">   - Zobowiązania wobec klientów</t>
  </si>
  <si>
    <t xml:space="preserve">   - Rezerwy </t>
  </si>
  <si>
    <t xml:space="preserve">   - Inne zobowiązania </t>
  </si>
  <si>
    <t xml:space="preserve">Z o b o w i ą z a n i a  o g ó ł e m </t>
  </si>
  <si>
    <t xml:space="preserve">KAPITAŁY </t>
  </si>
  <si>
    <t xml:space="preserve">   - Kapitał zakładowy</t>
  </si>
  <si>
    <t xml:space="preserve">   - Kapitał zapasowy - nadwyżka ze sprzedaży akcji powyżej ich wartości nominalnej</t>
  </si>
  <si>
    <t xml:space="preserve">   - Wycena motywacyjnych programów pracowniczych</t>
  </si>
  <si>
    <t xml:space="preserve">   - Zyski zatrzymane</t>
  </si>
  <si>
    <t>Kapitał własny przypadający akcjonariuszom ING Banku Śląskiego S.A.</t>
  </si>
  <si>
    <t xml:space="preserve">   - Udziały niekontrolujące</t>
  </si>
  <si>
    <t>K a p i t a ł y  w ł a s n e  o g ó ł e m</t>
  </si>
  <si>
    <t>Z o b o w i ą z a n i a  i  k a p i t a ł  w ł a s n y   r a z e m</t>
  </si>
  <si>
    <t>SKONSOLIDOWANE SPRAWOZDANIE Z SYTUACJI FINANSOWEJ
Grupy Kapitałowej ING Banku Śląskiego S.A.</t>
  </si>
  <si>
    <t xml:space="preserve">          - Koszty pracownicze</t>
  </si>
  <si>
    <t xml:space="preserve">          - Amortyzacja</t>
  </si>
  <si>
    <t xml:space="preserve">          - Pozostałe</t>
  </si>
  <si>
    <t>SKONSOLIDOWANY RACHUNEK ZYSKÓW I STRAT
Segment klientów detalicznych</t>
  </si>
  <si>
    <t>Przychody ogółem*</t>
  </si>
  <si>
    <t>Koszty ogółem</t>
  </si>
  <si>
    <t>*/ włączając udział w zyskach netto jednostek stowarzyszonych wykazywanych metodą praw własności</t>
  </si>
  <si>
    <t>SKONSOLIDOWANY RACHUNEK ZYSKÓW I STRAT
Segment bankowości korporacyjnej</t>
  </si>
  <si>
    <t>Razem przychody z tytułu odsetek</t>
  </si>
  <si>
    <t>Przychody z tytułu odsetek</t>
  </si>
  <si>
    <t xml:space="preserve"> - odsetki od kredytów i innych należności udzielonych bankom</t>
  </si>
  <si>
    <t xml:space="preserve"> - wynik odsetkowy na instrumentach pochodnych</t>
  </si>
  <si>
    <t xml:space="preserve"> - inne</t>
  </si>
  <si>
    <t>Koszty odsetek</t>
  </si>
  <si>
    <t xml:space="preserve"> - odsetki od zobowiązań wobec innych banków</t>
  </si>
  <si>
    <t xml:space="preserve"> - odsetki od zobowiązań wobec klientów</t>
  </si>
  <si>
    <t>Razem koszty odsetek</t>
  </si>
  <si>
    <t xml:space="preserve">Wynik z tytułu prowizji </t>
  </si>
  <si>
    <t xml:space="preserve">Przychody z tytułu prowizji </t>
  </si>
  <si>
    <t>Razem przychody z tytułu prowizji</t>
  </si>
  <si>
    <t xml:space="preserve"> - marża transakcyjna na transakcjach wymiany walut</t>
  </si>
  <si>
    <t xml:space="preserve"> - pozostałe prowizje</t>
  </si>
  <si>
    <t xml:space="preserve">Koszty prowizji </t>
  </si>
  <si>
    <t xml:space="preserve"> - w tym koszty BFG</t>
  </si>
  <si>
    <t>Wynik na instrumentach finansowych wycenianych przez rachunek zysków i strat oraz wynik z pozycji wymiany</t>
  </si>
  <si>
    <t>Wynik - pozostałe</t>
  </si>
  <si>
    <t>Wynik na wycenie do wartości godziwej instrumentów przeznaczonych do obrotu, w tym:</t>
  </si>
  <si>
    <t xml:space="preserve">     - Wynik na instrumentach kapitałowych</t>
  </si>
  <si>
    <t xml:space="preserve">     - Wynik na instrumentach dłużnych</t>
  </si>
  <si>
    <t xml:space="preserve">            - transakcje pochodne związane z papierami wartościowymi</t>
  </si>
  <si>
    <t>Wynik z pozycji wymiany</t>
  </si>
  <si>
    <t xml:space="preserve">     - Wynik na instrumentach pochodnych:</t>
  </si>
  <si>
    <t xml:space="preserve">            - transakcje pochodne walutowe</t>
  </si>
  <si>
    <t xml:space="preserve">            - transakcje pochodne na stopę procentową</t>
  </si>
  <si>
    <t>Wynik z tytułu aktywów i zobowiązań finansowych wycenianych wg wartości godziwej przy początkowym ujęciu, w tym:</t>
  </si>
  <si>
    <t>Wynik na instrumentach kapitałowych dostępnych do sprzedaży</t>
  </si>
  <si>
    <t>Wynik na instrumentach dłużnych dostępnych do sprzedaży</t>
  </si>
  <si>
    <t>Przychody z tytułu dywidend</t>
  </si>
  <si>
    <t>Wynik na inwestycjach</t>
  </si>
  <si>
    <t>Rachunkowość zabezpieczeń wartości godziwej papierów wartościowych</t>
  </si>
  <si>
    <t>Rachunkowość zabezpieczeń przepływów pieniężnych</t>
  </si>
  <si>
    <t>Razem</t>
  </si>
  <si>
    <t xml:space="preserve">     - wycena transakcji zabezpieczanej </t>
  </si>
  <si>
    <t xml:space="preserve">     - wycena transakcji zabezpieczającej</t>
  </si>
  <si>
    <t xml:space="preserve">     - nieefektywność wynikająca z zabezpieczeń przepływów pieniężnych</t>
  </si>
  <si>
    <t>Wynik na rachunkowości zabezpieczeń</t>
  </si>
  <si>
    <t>Aktywa finansowe</t>
  </si>
  <si>
    <t>Aktywa finansowe przeznaczone do obrotu, w tym:</t>
  </si>
  <si>
    <t xml:space="preserve">     - instrumenty dłużne</t>
  </si>
  <si>
    <t xml:space="preserve">     - instrumenty kapitałowe</t>
  </si>
  <si>
    <t xml:space="preserve">     - transakcje z przyrzeczeniem odkupu (buy-sell-back)</t>
  </si>
  <si>
    <t>Aktywa finansowe dostępne do sprzedaży, w tym:</t>
  </si>
  <si>
    <t xml:space="preserve">     - instrumenty dłużne, w tym:</t>
  </si>
  <si>
    <t xml:space="preserve">          - pozycje zabezpieczane w rachunkowości zabezpieczeń wartości godziwej</t>
  </si>
  <si>
    <t>Aktywa finansowe utrzymywane do terminu wymagalności, w tym:</t>
  </si>
  <si>
    <t>Inwestycje</t>
  </si>
  <si>
    <t>Kredyty i inne należności udzielone klientom</t>
  </si>
  <si>
    <t>Należności leasingowe</t>
  </si>
  <si>
    <t>Należności faktoringowe</t>
  </si>
  <si>
    <t>Pozostałe należności</t>
  </si>
  <si>
    <t>Razem (brutto)</t>
  </si>
  <si>
    <t>Odpis aktualizujący z tytułu utraty wartości, w tym:</t>
  </si>
  <si>
    <t xml:space="preserve">     - dotyczący kredytów i pożyczek</t>
  </si>
  <si>
    <t xml:space="preserve">     - dotyczący należności leasingowych</t>
  </si>
  <si>
    <t xml:space="preserve">     - dotyczący należności faktoringowych</t>
  </si>
  <si>
    <t>Kredyty i inne należności udzielone innym niż banki podmiotom sektora finansowego</t>
  </si>
  <si>
    <t>Kredyty i pożyczki, w tym:</t>
  </si>
  <si>
    <t xml:space="preserve">     - w rachunku bieżącym</t>
  </si>
  <si>
    <t xml:space="preserve">     - terminowe</t>
  </si>
  <si>
    <t>Razem (netto)</t>
  </si>
  <si>
    <t>Kredyty i inne należności udzielone podmiotom sektora niefinansowego</t>
  </si>
  <si>
    <t xml:space="preserve">     - dotyczący pozostałych należności</t>
  </si>
  <si>
    <t>Kredyty i inne należności udzielone podmiotom sektora instytucji rządowych i samorządowych</t>
  </si>
  <si>
    <t>Kredyty i inne należności udzielone klientom (netto), w tym:</t>
  </si>
  <si>
    <t xml:space="preserve">   - udzielone innym niż banki podmiotom sektora finansowego</t>
  </si>
  <si>
    <t xml:space="preserve">   - udzielone podmiotom sektora niefinansowego</t>
  </si>
  <si>
    <t xml:space="preserve">   - udzielone podmiotom sektora instytucji rządowych i samorządowych</t>
  </si>
  <si>
    <t>Jakość portfela kredytów i pożyczek</t>
  </si>
  <si>
    <t>Działalność korporacyjna</t>
  </si>
  <si>
    <t>Zaangażowanie</t>
  </si>
  <si>
    <t xml:space="preserve">   - portfel bez przesłanki utraty wartości</t>
  </si>
  <si>
    <t xml:space="preserve">   - portfel z przesłanką utraty wartości</t>
  </si>
  <si>
    <t>Odpis aktualizujący z tytułu utraty wartości i rezerwy</t>
  </si>
  <si>
    <t xml:space="preserve">   - odpis dotyczący portfela bez przesłanki utraty wartości</t>
  </si>
  <si>
    <t xml:space="preserve">   - odpis dotyczący portfela z przesłanką utraty wartości</t>
  </si>
  <si>
    <t xml:space="preserve">   - rezerwy na zobowiązania pozabilansowe</t>
  </si>
  <si>
    <t>Działalność detaliczna</t>
  </si>
  <si>
    <t xml:space="preserve">   - dotyczący portfela bez przesłanki utraty wartości</t>
  </si>
  <si>
    <t xml:space="preserve">   - dotyczący portfela z przesłanką utraty wartości</t>
  </si>
  <si>
    <t>Zaangażowanie ogółem</t>
  </si>
  <si>
    <t>Odpis aktualizujący z tytułu utraty wartości i rezerwy ogółem, w tym:</t>
  </si>
  <si>
    <t xml:space="preserve">     - odpis aktualizujący z tytułu utraty wartości</t>
  </si>
  <si>
    <t xml:space="preserve">     - rezerwy na zobowiązania pozabilansowe</t>
  </si>
  <si>
    <t>Współczynnik pokrycia portfela ogółem</t>
  </si>
  <si>
    <t>Depozyty</t>
  </si>
  <si>
    <t>Pozostałe zobowiązania</t>
  </si>
  <si>
    <t>Zobowiązania wobec innych niż banki podmiotów sektora finansowego</t>
  </si>
  <si>
    <t>Depozyty, w tym:</t>
  </si>
  <si>
    <t xml:space="preserve">     - rachunki bieżące</t>
  </si>
  <si>
    <t xml:space="preserve">     - rachunki terminowe</t>
  </si>
  <si>
    <t xml:space="preserve">Razem </t>
  </si>
  <si>
    <t>Zobowiązania wobec podmiotów sektora niefinansowego</t>
  </si>
  <si>
    <t>Zobowiązania wobec podmiotów sektora instytucji rządowych i samorządowych</t>
  </si>
  <si>
    <t>Zobowiązania wobec klientów</t>
  </si>
  <si>
    <t>Razem zobowiązania wobec klientów, w tym:</t>
  </si>
  <si>
    <t xml:space="preserve">     - wobec innych niż banki podmiotów sektora finansowego</t>
  </si>
  <si>
    <t xml:space="preserve">     - wobec podmiotów sektora niefinansowego</t>
  </si>
  <si>
    <t xml:space="preserve">     - wobec podmiotów sektora instytucji rządowych i samorządowych</t>
  </si>
  <si>
    <t>Pozostałe informacje</t>
  </si>
  <si>
    <t>Zatrudnienie</t>
  </si>
  <si>
    <t xml:space="preserve"> - Zatrudnienie w Grupie Kapitałowej ING Banku Śląskiego S.A.</t>
  </si>
  <si>
    <t xml:space="preserve"> - Zatrudnienie w ING Banku Śląskim S.A.</t>
  </si>
  <si>
    <t>Liczba placówek Banku</t>
  </si>
  <si>
    <t>Karty płatnicze, z czego:</t>
  </si>
  <si>
    <t>Karty bankowe (w tys.)</t>
  </si>
  <si>
    <t>Koszty ryzyka</t>
  </si>
  <si>
    <t>Zysk brutto</t>
  </si>
  <si>
    <t>Suma bilansowa</t>
  </si>
  <si>
    <t>Zysk netto/Kapitały (ROE) w %</t>
  </si>
  <si>
    <t>Koszty/Dochody w %</t>
  </si>
  <si>
    <t>Zysk na 1 akcję w zł</t>
  </si>
  <si>
    <t>Liczba placówek</t>
  </si>
  <si>
    <t>Liczba pracowników</t>
  </si>
  <si>
    <t>Kluczowe informacje finansowe i biznesowe</t>
  </si>
  <si>
    <t>Podstawowe wskaźniki:</t>
  </si>
  <si>
    <t xml:space="preserve">Informacje dla inwestorów i akcjonariuszy: </t>
  </si>
  <si>
    <t>Kapitalizacja giełdowa</t>
  </si>
  <si>
    <t>Wynik finansowy:</t>
  </si>
  <si>
    <t>Wartość księgowa</t>
  </si>
  <si>
    <t>Kurs akcji w zł</t>
  </si>
  <si>
    <t>Pozostałe dane ilościowe:</t>
  </si>
  <si>
    <r>
      <t>1</t>
    </r>
    <r>
      <rPr>
        <i/>
        <sz val="8"/>
        <color indexed="8"/>
        <rFont val="Arial"/>
        <family val="2"/>
      </rPr>
      <t xml:space="preserve"> Łącznie z zyskiem netto jednostek stowarzyszonych wykazywanych metodą praw własności. </t>
    </r>
  </si>
  <si>
    <r>
      <t>2</t>
    </r>
    <r>
      <rPr>
        <i/>
        <sz val="8"/>
        <color indexed="8"/>
        <rFont val="Arial"/>
        <family val="2"/>
      </rPr>
      <t xml:space="preserve"> Koszty działania z amortyzacją oraz z wynikiem na pozostałej działalności operacyjnej.</t>
    </r>
  </si>
  <si>
    <r>
      <t>4</t>
    </r>
    <r>
      <rPr>
        <i/>
        <sz val="8"/>
        <color indexed="8"/>
        <rFont val="Arial"/>
        <family val="2"/>
      </rPr>
      <t xml:space="preserve"> Z wyłączeniem portfela Euroobligacji</t>
    </r>
  </si>
  <si>
    <r>
      <t>5</t>
    </r>
    <r>
      <rPr>
        <i/>
        <sz val="8"/>
        <color indexed="8"/>
        <rFont val="Arial"/>
        <family val="2"/>
      </rPr>
      <t xml:space="preserve"> Kapitały własne jednostki dominującej </t>
    </r>
  </si>
  <si>
    <t>Liczba klientów detalicznych w tys</t>
  </si>
  <si>
    <r>
      <rPr>
        <i/>
        <vertAlign val="superscript"/>
        <sz val="8"/>
        <color indexed="8"/>
        <rFont val="Arial"/>
        <family val="2"/>
      </rPr>
      <t xml:space="preserve">3 </t>
    </r>
    <r>
      <rPr>
        <i/>
        <sz val="8"/>
        <color indexed="8"/>
        <rFont val="Arial"/>
        <family val="2"/>
      </rPr>
      <t>Przypadający na akcjonariuszy jednostki dominującej.</t>
    </r>
  </si>
  <si>
    <t>Wartość księgowa na jedną akcję w zł</t>
  </si>
  <si>
    <t>1Q</t>
  </si>
  <si>
    <t>2Q</t>
  </si>
  <si>
    <t>3Q</t>
  </si>
  <si>
    <t>4Q</t>
  </si>
  <si>
    <t>CONSOLIDATED INCOME STATEMENT
of the ING Bank Śląski Group S.A.</t>
  </si>
  <si>
    <t>(PLN million)</t>
  </si>
  <si>
    <t xml:space="preserve"> - Interest income</t>
  </si>
  <si>
    <t xml:space="preserve"> - Interest expenses</t>
  </si>
  <si>
    <t>Net interest income</t>
  </si>
  <si>
    <t xml:space="preserve"> - Commission income</t>
  </si>
  <si>
    <t xml:space="preserve"> - Commission expenses</t>
  </si>
  <si>
    <t>Net commission income</t>
  </si>
  <si>
    <t>Result on basic activities</t>
  </si>
  <si>
    <t xml:space="preserve"> - General and administrative expenses</t>
  </si>
  <si>
    <t xml:space="preserve">          - Personnel expenses</t>
  </si>
  <si>
    <t xml:space="preserve">          - Depreciation and amortisation</t>
  </si>
  <si>
    <t xml:space="preserve"> - Impairment losses and provisions for off-balance sheet liabilities</t>
  </si>
  <si>
    <t xml:space="preserve"> - Share in net profit (loss) of associated entities recognised under the equity method</t>
  </si>
  <si>
    <t>Profit (loss) before tax</t>
  </si>
  <si>
    <t xml:space="preserve"> - Income tax</t>
  </si>
  <si>
    <t>Net profit (loss) from continuing operations</t>
  </si>
  <si>
    <t xml:space="preserve"> - attributable to non-controlling interests</t>
  </si>
  <si>
    <t>CONSOLIDATED INCOME STATEMENT
Retail customers segment</t>
  </si>
  <si>
    <t>Revenue total*</t>
  </si>
  <si>
    <t>Other income/expenses</t>
  </si>
  <si>
    <t>Share in net profit (loss) of associated entities recognised under the equity method</t>
  </si>
  <si>
    <t>Expenses total</t>
  </si>
  <si>
    <t>Risk cost</t>
  </si>
  <si>
    <t>*/ including the share in net profit of affiliated units shown using the method of ownership rights</t>
  </si>
  <si>
    <t>CONSOLIDATED STATEMENT OF FINANCIAL POSITION
of the ING Bank Śląski Group S.A.</t>
  </si>
  <si>
    <t xml:space="preserve"> - Cash in hand and balances with the Central Bank</t>
  </si>
  <si>
    <t xml:space="preserve"> - Loans and receivables to other banks</t>
  </si>
  <si>
    <t xml:space="preserve"> - Financial assets measured at fair value through profit and loss</t>
  </si>
  <si>
    <t xml:space="preserve"> - Valuation of derivatives</t>
  </si>
  <si>
    <t xml:space="preserve"> - Investments</t>
  </si>
  <si>
    <t xml:space="preserve">          - available-for-sale</t>
  </si>
  <si>
    <t xml:space="preserve">          - held-to-maturity</t>
  </si>
  <si>
    <t xml:space="preserve"> - Derivative hedge instruments</t>
  </si>
  <si>
    <t xml:space="preserve"> - Loans and receivables to customers</t>
  </si>
  <si>
    <t xml:space="preserve"> - Investments in controlled entities recognised under the equity method</t>
  </si>
  <si>
    <t xml:space="preserve"> - Investment real estates</t>
  </si>
  <si>
    <t xml:space="preserve"> - Property, plant and equipment</t>
  </si>
  <si>
    <t xml:space="preserve"> - Intangible assets</t>
  </si>
  <si>
    <t xml:space="preserve"> - Property, plant and equipment held for sale</t>
  </si>
  <si>
    <t xml:space="preserve"> - Current income tax assets</t>
  </si>
  <si>
    <t xml:space="preserve"> - Deferred tax assets</t>
  </si>
  <si>
    <t xml:space="preserve"> - Other assets</t>
  </si>
  <si>
    <t>T o t a l   a s s e t s</t>
  </si>
  <si>
    <t>A S S E T S</t>
  </si>
  <si>
    <t>E Q U I T Y   A N D   L I A B I L I T I E S</t>
  </si>
  <si>
    <t>LIABILITIES</t>
  </si>
  <si>
    <t xml:space="preserve"> - Liabilities due to other banks</t>
  </si>
  <si>
    <t xml:space="preserve"> - Financial liabilities measured at fair value through profit and loss</t>
  </si>
  <si>
    <t xml:space="preserve"> - Liabilities due to customers</t>
  </si>
  <si>
    <t xml:space="preserve"> - Provisions</t>
  </si>
  <si>
    <t xml:space="preserve"> - Current income tax liabilities</t>
  </si>
  <si>
    <t xml:space="preserve"> - Deferred tax provision</t>
  </si>
  <si>
    <t xml:space="preserve"> - Other liabilities</t>
  </si>
  <si>
    <t>T o t a l   l i a b i l i t i e s</t>
  </si>
  <si>
    <t>EQUITY</t>
  </si>
  <si>
    <t xml:space="preserve"> - Share capital</t>
  </si>
  <si>
    <t xml:space="preserve"> - Supplementary capital - issuance of shares over nominal value</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</si>
  <si>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</si>
  <si>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</si>
  <si>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</si>
  <si>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Revaluation of share-based payment</t>
  </si>
  <si>
    <t xml:space="preserve"> - Retained earnings</t>
  </si>
  <si>
    <t>Equity attributable to shareholders of ING Bank Śląski S.A.</t>
  </si>
  <si>
    <t xml:space="preserve"> - Non-controlling interests</t>
  </si>
  <si>
    <t>T o t a l   e q u i t y</t>
  </si>
  <si>
    <t>T o t a l   e q u i t y   a n d   l i a b i l i t i e s</t>
  </si>
  <si>
    <t>Interest income</t>
  </si>
  <si>
    <t xml:space="preserve"> - interest on loans and receivables to banks</t>
  </si>
  <si>
    <t xml:space="preserve"> - interest on loans and receivables to customers</t>
  </si>
  <si>
    <t xml:space="preserve"> - interest result on derivatives</t>
  </si>
  <si>
    <t xml:space="preserve"> - other</t>
  </si>
  <si>
    <t>Total interest income</t>
  </si>
  <si>
    <t>Interest expenses</t>
  </si>
  <si>
    <t xml:space="preserve"> - interest on deposits from banks</t>
  </si>
  <si>
    <t xml:space="preserve"> - interest on deposits from customers</t>
  </si>
  <si>
    <t>Total interest expenses</t>
  </si>
  <si>
    <t xml:space="preserve"> - commission related to brokerage activity</t>
  </si>
  <si>
    <t xml:space="preserve"> - commission related to keeping accounts</t>
  </si>
  <si>
    <t xml:space="preserve"> - commission related to payment and credit cards</t>
  </si>
  <si>
    <t xml:space="preserve"> - commission related to loans</t>
  </si>
  <si>
    <t xml:space="preserve"> - commission related to distribution of participation units</t>
  </si>
  <si>
    <t xml:space="preserve"> - fiduciary and custodian fees</t>
  </si>
  <si>
    <t xml:space="preserve"> - commission related to factoring agreements</t>
  </si>
  <si>
    <t xml:space="preserve"> - foreign commercial business</t>
  </si>
  <si>
    <t xml:space="preserve"> - commission related to subscription of structured products</t>
  </si>
  <si>
    <t xml:space="preserve"> - the transaction margin on currency exchange transactions</t>
  </si>
  <si>
    <t xml:space="preserve"> - of which costs of the Bank Guarantee Fund (BFG)</t>
  </si>
  <si>
    <t>Net income on financial assets and liabilities held for trading, of which:</t>
  </si>
  <si>
    <t xml:space="preserve"> - Net income on equity instruments</t>
  </si>
  <si>
    <t xml:space="preserve"> - Net income on debt instruments</t>
  </si>
  <si>
    <t xml:space="preserve"> - Net income on derivatives, of which:</t>
  </si>
  <si>
    <t xml:space="preserve">            - currency derivatives</t>
  </si>
  <si>
    <t xml:space="preserve">            - interest rate derivatives</t>
  </si>
  <si>
    <t xml:space="preserve">            - securities derivatives</t>
  </si>
  <si>
    <t>Net income on financial assets and liabilities measured at fair value upon initial recognition, of which:</t>
  </si>
  <si>
    <t>FX-result</t>
  </si>
  <si>
    <t>Net income on equity instruments available-for-sale</t>
  </si>
  <si>
    <t>Net income on debt instruments available-for-sale</t>
  </si>
  <si>
    <t>Dividend income</t>
  </si>
  <si>
    <t>Net income on investments</t>
  </si>
  <si>
    <t>Fair value hedge accounting for securities</t>
  </si>
  <si>
    <t xml:space="preserve"> - valuation of the hedged transaction</t>
  </si>
  <si>
    <t xml:space="preserve"> - valuation of the hedging transaction</t>
  </si>
  <si>
    <t>Cash flow hedge accounting</t>
  </si>
  <si>
    <t xml:space="preserve"> - ineffectiveness that arises from cash flow hedges</t>
  </si>
  <si>
    <t>Net income on hedge accounting</t>
  </si>
  <si>
    <t>Net income - other</t>
  </si>
  <si>
    <t>Financial assets</t>
  </si>
  <si>
    <t>Financial assets held for trading, of which:</t>
  </si>
  <si>
    <t xml:space="preserve"> - debt instruments</t>
  </si>
  <si>
    <t xml:space="preserve"> - equity instruments</t>
  </si>
  <si>
    <t xml:space="preserve"> - buy-sell-back transactions</t>
  </si>
  <si>
    <t>Financial assets measured at fair value through profit and loss</t>
  </si>
  <si>
    <t>Available-for-sale financial assets, of which:</t>
  </si>
  <si>
    <t xml:space="preserve"> - debt instruments, including:</t>
  </si>
  <si>
    <t xml:space="preserve">          - hedged items in fair value hedging</t>
  </si>
  <si>
    <t>Held-to-maturity financial assets, of which:</t>
  </si>
  <si>
    <t>Investments</t>
  </si>
  <si>
    <t>Loans and receivables to customers</t>
  </si>
  <si>
    <t>Leasing receivables</t>
  </si>
  <si>
    <t>Factoring receivables</t>
  </si>
  <si>
    <t>Other receivables</t>
  </si>
  <si>
    <t>Total loans and receivables to customers (gross)</t>
  </si>
  <si>
    <t>Impairment losses, of which:</t>
  </si>
  <si>
    <t xml:space="preserve"> - concerning loans and advances</t>
  </si>
  <si>
    <t xml:space="preserve"> - concerning leasing receivables</t>
  </si>
  <si>
    <t xml:space="preserve"> - concerning factoring receivables</t>
  </si>
  <si>
    <t xml:space="preserve"> - concerning other receivables</t>
  </si>
  <si>
    <t>Total loans and receivables to customers (net), of which:</t>
  </si>
  <si>
    <t>Loans and other receivables to entities from the financial sector other than banks</t>
  </si>
  <si>
    <t>Loans and advances, of which:</t>
  </si>
  <si>
    <t xml:space="preserve"> - in the current account</t>
  </si>
  <si>
    <t xml:space="preserve"> - term ones</t>
  </si>
  <si>
    <t>Total (gross)</t>
  </si>
  <si>
    <t>Total (net)</t>
  </si>
  <si>
    <t>Loans and other receivables to entities from the non-financial sector</t>
  </si>
  <si>
    <t>Loans and other receivables to entities from the government and self-government institutions’ sector</t>
  </si>
  <si>
    <t>Quality of portfolio of loans and advances</t>
  </si>
  <si>
    <t>Corporate activity</t>
  </si>
  <si>
    <t>Exposure</t>
  </si>
  <si>
    <t xml:space="preserve"> - unimpaired (IBNR – incured but not reported)</t>
  </si>
  <si>
    <t xml:space="preserve"> - impaired</t>
  </si>
  <si>
    <t>Impairment losses and provisions</t>
  </si>
  <si>
    <t xml:space="preserve"> - related to unimpaired portfolio</t>
  </si>
  <si>
    <t xml:space="preserve"> - related to impaired portfolio</t>
  </si>
  <si>
    <t xml:space="preserve"> - provisions for off-balance sheet liabilities</t>
  </si>
  <si>
    <t/>
  </si>
  <si>
    <t>Impaired portfolio coverage ratio (%)</t>
  </si>
  <si>
    <t>Retail activity</t>
  </si>
  <si>
    <t>Total exposure</t>
  </si>
  <si>
    <t>Impairment losses and total provisions, of which:</t>
  </si>
  <si>
    <t xml:space="preserve"> - impairment losses</t>
  </si>
  <si>
    <t>Total portfolio coverage ratio</t>
  </si>
  <si>
    <t>Liabilities due to customers</t>
  </si>
  <si>
    <t>Deposits</t>
  </si>
  <si>
    <t>Other liabilities</t>
  </si>
  <si>
    <t>Total liabilities due to customers, of which:</t>
  </si>
  <si>
    <t>Liabilities due to entities from the financial sector other than banks</t>
  </si>
  <si>
    <t xml:space="preserve"> - current accounts</t>
  </si>
  <si>
    <t>Total</t>
  </si>
  <si>
    <t>Liabilities due to entities from the non-financial sector</t>
  </si>
  <si>
    <t>Liabilities due to entities from the government and self-government institutions’ sector</t>
  </si>
  <si>
    <t>Other information</t>
  </si>
  <si>
    <t>Headcount</t>
  </si>
  <si>
    <t xml:space="preserve"> - The headcount in the Capital Group</t>
  </si>
  <si>
    <t xml:space="preserve">     - Individuals</t>
  </si>
  <si>
    <t xml:space="preserve">     - FTEs</t>
  </si>
  <si>
    <t xml:space="preserve"> - The headcount in the ING Bank Śląski S.A.</t>
  </si>
  <si>
    <t>Number of outlets</t>
  </si>
  <si>
    <t>Banking cards (in thousands)</t>
  </si>
  <si>
    <t>Payment cards, of which:</t>
  </si>
  <si>
    <t xml:space="preserve"> - Debit cards</t>
  </si>
  <si>
    <t xml:space="preserve"> - Credit cards</t>
  </si>
  <si>
    <t xml:space="preserve"> - Other cards</t>
  </si>
  <si>
    <t>Key financial and business information</t>
  </si>
  <si>
    <t>Risk costs</t>
  </si>
  <si>
    <t>Gross profit</t>
  </si>
  <si>
    <r>
      <t xml:space="preserve">Income </t>
    </r>
    <r>
      <rPr>
        <vertAlign val="superscript"/>
        <sz val="9"/>
        <rFont val="Arial"/>
        <family val="2"/>
      </rPr>
      <t>1</t>
    </r>
  </si>
  <si>
    <r>
      <t xml:space="preserve">Costs </t>
    </r>
    <r>
      <rPr>
        <vertAlign val="superscript"/>
        <sz val="9"/>
        <rFont val="Arial"/>
        <family val="2"/>
      </rPr>
      <t>2</t>
    </r>
  </si>
  <si>
    <r>
      <t xml:space="preserve">Net profit </t>
    </r>
    <r>
      <rPr>
        <vertAlign val="superscript"/>
        <sz val="9"/>
        <rFont val="Arial"/>
        <family val="2"/>
      </rPr>
      <t>3</t>
    </r>
  </si>
  <si>
    <t>Number of retail clients in thousands</t>
  </si>
  <si>
    <t>Number of employees</t>
  </si>
  <si>
    <t>Earnings per 1 share in PLN</t>
  </si>
  <si>
    <t>Net profit/ Balance sheet total (ROA) as %</t>
  </si>
  <si>
    <t>Net profit/ Equity (ROE) as %</t>
  </si>
  <si>
    <t>Cost /Income ratio (C/I) as %</t>
  </si>
  <si>
    <t>Balance sheet total</t>
  </si>
  <si>
    <t>BS:</t>
  </si>
  <si>
    <t>P&amp;L:</t>
  </si>
  <si>
    <t xml:space="preserve">     Loans</t>
  </si>
  <si>
    <t xml:space="preserve">     Leasing receivables</t>
  </si>
  <si>
    <t xml:space="preserve">     Factoring receivables</t>
  </si>
  <si>
    <r>
      <t xml:space="preserve">Equity </t>
    </r>
    <r>
      <rPr>
        <vertAlign val="superscript"/>
        <sz val="9"/>
        <rFont val="Arial"/>
        <family val="2"/>
      </rPr>
      <t>5</t>
    </r>
  </si>
  <si>
    <t>Basic ratios:</t>
  </si>
  <si>
    <t>Other quantitative data:</t>
  </si>
  <si>
    <t>Net book value</t>
  </si>
  <si>
    <t>Information for investors and shareholders:</t>
  </si>
  <si>
    <t>Share price in PLN</t>
  </si>
  <si>
    <t>Net book value per share in PLN</t>
  </si>
  <si>
    <t>Market capitalisation</t>
  </si>
  <si>
    <r>
      <t>5</t>
    </r>
    <r>
      <rPr>
        <i/>
        <sz val="8"/>
        <color indexed="8"/>
        <rFont val="Arial"/>
        <family val="2"/>
      </rPr>
      <t xml:space="preserve"> Equity of the parent entity</t>
    </r>
  </si>
  <si>
    <r>
      <t xml:space="preserve">Net interest margin (NIM) as % </t>
    </r>
    <r>
      <rPr>
        <vertAlign val="superscript"/>
        <sz val="9"/>
        <rFont val="Arial"/>
        <family val="2"/>
      </rPr>
      <t>6</t>
    </r>
  </si>
  <si>
    <r>
      <t>6</t>
    </r>
    <r>
      <rPr>
        <i/>
        <sz val="8"/>
        <color indexed="8"/>
        <rFont val="Arial"/>
        <family val="2"/>
      </rPr>
      <t xml:space="preserve"> Sum of NII of 4 consecutive quarters / average interest bearing assets of 5 consecutive quarters</t>
    </r>
  </si>
  <si>
    <r>
      <t>4</t>
    </r>
    <r>
      <rPr>
        <i/>
        <sz val="8"/>
        <color indexed="8"/>
        <rFont val="Arial"/>
        <family val="2"/>
      </rPr>
      <t xml:space="preserve"> Excluding T-eurobonds</t>
    </r>
  </si>
  <si>
    <t>Net income on other basic activities</t>
  </si>
  <si>
    <t>Net income on financial instruments measured at fair value through profit or loss and FX result</t>
  </si>
  <si>
    <t xml:space="preserve"> - Net profit (loss) attribuable to shareholders of ING Bank Śląski S.A.</t>
  </si>
  <si>
    <t>Result before risk costs</t>
  </si>
  <si>
    <t>Profit before tax</t>
  </si>
  <si>
    <t>Share of the impaired portfolio (%)</t>
  </si>
  <si>
    <t xml:space="preserve">   Personnel expenses</t>
  </si>
  <si>
    <t xml:space="preserve">   Depreciation</t>
  </si>
  <si>
    <t xml:space="preserve">   Other</t>
  </si>
  <si>
    <t xml:space="preserve"> - liabilities due to entities from the financial sector other than banks</t>
  </si>
  <si>
    <t xml:space="preserve"> - liabilities due to entities from the non-financial sector</t>
  </si>
  <si>
    <t xml:space="preserve"> - liabilities due to entities from the government and self-government
institutions’ sector</t>
  </si>
  <si>
    <t xml:space="preserve"> - loans and other receivables to entities from the financial sector
other than banks</t>
  </si>
  <si>
    <t xml:space="preserve"> - loans and other receivables to entities from the non-financial sector</t>
  </si>
  <si>
    <t xml:space="preserve"> - loans and other receivables to entities from the government
and self-government institutions’ sector</t>
  </si>
  <si>
    <r>
      <t xml:space="preserve">Przychody </t>
    </r>
    <r>
      <rPr>
        <vertAlign val="superscript"/>
        <sz val="8"/>
        <rFont val="Arial"/>
        <family val="2"/>
      </rPr>
      <t>1</t>
    </r>
  </si>
  <si>
    <r>
      <t xml:space="preserve">Koszty </t>
    </r>
    <r>
      <rPr>
        <vertAlign val="superscript"/>
        <sz val="8"/>
        <rFont val="Arial"/>
        <family val="2"/>
      </rPr>
      <t>2</t>
    </r>
  </si>
  <si>
    <r>
      <t xml:space="preserve">Zysk netto </t>
    </r>
    <r>
      <rPr>
        <vertAlign val="superscript"/>
        <sz val="8"/>
        <rFont val="Arial"/>
        <family val="2"/>
      </rPr>
      <t>3</t>
    </r>
  </si>
  <si>
    <r>
      <t>Kredyty i inne należności udzielone klientom netto</t>
    </r>
    <r>
      <rPr>
        <vertAlign val="superscript"/>
        <sz val="8"/>
        <rFont val="Arial"/>
        <family val="2"/>
      </rPr>
      <t xml:space="preserve"> 4</t>
    </r>
    <r>
      <rPr>
        <sz val="8"/>
        <rFont val="Arial"/>
        <family val="2"/>
      </rPr>
      <t>,</t>
    </r>
    <r>
      <rPr>
        <vertAlign val="superscript"/>
        <sz val="8"/>
        <rFont val="Arial"/>
        <family val="2"/>
      </rPr>
      <t xml:space="preserve"> </t>
    </r>
    <r>
      <rPr>
        <sz val="8"/>
        <rFont val="Arial"/>
        <family val="2"/>
      </rPr>
      <t>w tym:</t>
    </r>
  </si>
  <si>
    <t xml:space="preserve">   Kredyty </t>
  </si>
  <si>
    <t xml:space="preserve">   Należności leasingowe</t>
  </si>
  <si>
    <t xml:space="preserve">   Należności faktoringowe</t>
  </si>
  <si>
    <r>
      <t xml:space="preserve">Kapitały własne </t>
    </r>
    <r>
      <rPr>
        <vertAlign val="superscript"/>
        <sz val="8"/>
        <rFont val="Arial"/>
        <family val="2"/>
      </rPr>
      <t>5</t>
    </r>
  </si>
  <si>
    <t>Zysk netto/suma bilansowa (ROA) w %</t>
  </si>
  <si>
    <t>Koszty/Dochody w % - narastająco</t>
  </si>
  <si>
    <r>
      <t xml:space="preserve">Marża odsetkowa netto w % </t>
    </r>
    <r>
      <rPr>
        <vertAlign val="superscript"/>
        <sz val="8"/>
        <rFont val="Arial"/>
        <family val="2"/>
      </rPr>
      <t>6</t>
    </r>
  </si>
  <si>
    <t>-</t>
  </si>
  <si>
    <r>
      <t>6</t>
    </r>
    <r>
      <rPr>
        <i/>
        <sz val="8"/>
        <color indexed="8"/>
        <rFont val="Arial"/>
        <family val="2"/>
      </rPr>
      <t xml:space="preserve"> Suma wyniku odsetkowego dla 4 kolejnych kwartałów / średnia wartośc aktywów odsetkowych dla 5 kolejnych kwartałów</t>
    </r>
  </si>
  <si>
    <r>
      <t>1</t>
    </r>
    <r>
      <rPr>
        <i/>
        <sz val="8"/>
        <color indexed="8"/>
        <rFont val="Arial"/>
        <family val="2"/>
      </rPr>
      <t xml:space="preserve"> Including net profit of affiliated entities recognised on an equity basis.</t>
    </r>
  </si>
  <si>
    <r>
      <t xml:space="preserve">2 </t>
    </r>
    <r>
      <rPr>
        <i/>
        <sz val="8"/>
        <color indexed="8"/>
        <rFont val="Arial"/>
        <family val="2"/>
      </rPr>
      <t>Operating expenses with amortization/depreciation and result on other operating activities.</t>
    </r>
  </si>
  <si>
    <r>
      <rPr>
        <i/>
        <vertAlign val="superscript"/>
        <sz val="8"/>
        <rFont val="Arial"/>
        <family val="2"/>
      </rPr>
      <t>3</t>
    </r>
    <r>
      <rPr>
        <i/>
        <sz val="8"/>
        <rFont val="Arial"/>
        <family val="2"/>
      </rPr>
      <t xml:space="preserve"> Attributable to the shareholders of the parent entity.</t>
    </r>
  </si>
  <si>
    <t xml:space="preserve"> - Wynik na inwestycjach</t>
  </si>
  <si>
    <t xml:space="preserve"> - Wynik na rachunkowości zabezpieczeń</t>
  </si>
  <si>
    <t xml:space="preserve"> - Wynik na pozostałej działalności podstawowej</t>
  </si>
  <si>
    <t xml:space="preserve"> - Koszty działania banku </t>
  </si>
  <si>
    <t xml:space="preserve">   - przypadający akcjonariuszom ING Banku Śląskiego S.A.</t>
  </si>
  <si>
    <t>wynik z tytułu odsetek</t>
  </si>
  <si>
    <t>wynik z tytułu prowizji</t>
  </si>
  <si>
    <t>pozostałe przychody/koszty</t>
  </si>
  <si>
    <t>udział w zyskach (stratach) netto jednostek stowarzyszonych wykazywanych metodą praw własności</t>
  </si>
  <si>
    <t>koszty osobowe</t>
  </si>
  <si>
    <t>amortyzacja</t>
  </si>
  <si>
    <t>pozostałe</t>
  </si>
  <si>
    <t>Wynik segmentu</t>
  </si>
  <si>
    <t>koszty ryzyka</t>
  </si>
  <si>
    <t>Wynik segmentu z uwzględnieniem kosztów ryzyka (wynik finansowy brutto)</t>
  </si>
  <si>
    <t xml:space="preserve">     - Wynik na wycenie lokat desygnowanych do wyceny według wartości godziwej</t>
  </si>
  <si>
    <t>Pozostałe</t>
  </si>
  <si>
    <t>Other</t>
  </si>
  <si>
    <t xml:space="preserve">   - Zobowiązania wobec Banku Centralnego</t>
  </si>
  <si>
    <t>brak danych</t>
  </si>
  <si>
    <t>Udział portfela zagrożonego utratą wartości bankowości korporacyjnej</t>
  </si>
  <si>
    <t>Współczynnik pokrycia portfela zagrożonego utratą wartości</t>
  </si>
  <si>
    <t>Udział portfela zagrożonego utratą wartości bankowości detalicznej</t>
  </si>
  <si>
    <t>Udział portfela zagrożonego utratą wartości</t>
  </si>
  <si>
    <t xml:space="preserve">     - lokaty</t>
  </si>
  <si>
    <t>Aktywa finansowe wyceniane do wartości godziwej 
przez rachunek zysków i strat</t>
  </si>
  <si>
    <t xml:space="preserve"> - term deposits</t>
  </si>
  <si>
    <t xml:space="preserve">     - w osobach</t>
  </si>
  <si>
    <t xml:space="preserve">     - w etatach</t>
  </si>
  <si>
    <t xml:space="preserve">     - karty debetowe</t>
  </si>
  <si>
    <t xml:space="preserve">     - karty kredytowe</t>
  </si>
  <si>
    <t xml:space="preserve">     - karty pozostałe</t>
  </si>
  <si>
    <t>FUNDUSZE WŁASNE</t>
  </si>
  <si>
    <t>A. Kapitały własne ze sprawozdania z sytuacji finansowej, w tym:</t>
  </si>
  <si>
    <t xml:space="preserve">     A.I. Kapitały własne ujęte w funduszach podstawowych, w tym:</t>
  </si>
  <si>
    <t xml:space="preserve">            - kapitał zakładowy</t>
  </si>
  <si>
    <t xml:space="preserve">            - kapitał zapasowy - agio</t>
  </si>
  <si>
    <t xml:space="preserve">            - kapitał zapasowy - pozostały</t>
  </si>
  <si>
    <t xml:space="preserve">            - kapitał rezerwowy</t>
  </si>
  <si>
    <t xml:space="preserve">            - fundusz ogólnego ryzyka</t>
  </si>
  <si>
    <t xml:space="preserve">            - wynik finansowy bieżącego roku w części zaudytowanej</t>
  </si>
  <si>
    <t xml:space="preserve">            - udziały niekontrolujące</t>
  </si>
  <si>
    <t xml:space="preserve">            - kapitał z aktualizacji wyceny aktywów finansowych dostępnych do sprzedaży 
             (niezrealizowane straty)</t>
  </si>
  <si>
    <t xml:space="preserve">            - pozostały kapitał z aktualizacji wyceny</t>
  </si>
  <si>
    <t xml:space="preserve">            - kapitał z aktualizacji wyceny aktywów finansowych dostępnych do sprzedaży 
             (niezrealizowane zyski)</t>
  </si>
  <si>
    <t xml:space="preserve">            - kapitał z aktualizacji wyceny aktywów finansowych dostępnych do sprzedaży </t>
  </si>
  <si>
    <t xml:space="preserve">            - kapitał z aktualizacji wyceny rzeczowych aktywów trwałych </t>
  </si>
  <si>
    <t xml:space="preserve">            - kapitał z aktualizacji wyceny instrumentów zabezpieczających przepływy pieniężne</t>
  </si>
  <si>
    <t xml:space="preserve">            - wycena motywacyjnych programów pracowniczych</t>
  </si>
  <si>
    <t xml:space="preserve">            - wynik finansowy bieżącego roku w części niezaudytowanej</t>
  </si>
  <si>
    <t xml:space="preserve">            - zadeklarowana dywidenda dla akcjonariuszy</t>
  </si>
  <si>
    <t xml:space="preserve">            - wynik w trakcie zatwierdzania</t>
  </si>
  <si>
    <t>B. Pozostałe składniki (pomniejszenia i zwiększenia) funduszy własnych, w tym:</t>
  </si>
  <si>
    <t xml:space="preserve">     B.I. Pozostałe składniki funduszy podstawowych:</t>
  </si>
  <si>
    <t xml:space="preserve">            - wartości niematerialne</t>
  </si>
  <si>
    <t xml:space="preserve">     B.II. Pozostałe składniki funduszy uzupełniających:</t>
  </si>
  <si>
    <t>WYMOGI KAPITAŁOWE</t>
  </si>
  <si>
    <t xml:space="preserve">   - Wymogi kapitałowe dla ryzyka kredytowego, kredytowego kontrahenta, 
     rozmycia i dostawy instrumentów do rozliczenia w późniejszym terminie</t>
  </si>
  <si>
    <t xml:space="preserve">        - w tym: uzupełnienie wymogu kapitałowego z tytułu ryzyka kredytowego 
          do wielkości wymogu obliczonego wg metody standardowej</t>
  </si>
  <si>
    <t xml:space="preserve">   - Wymóg kapitałowy z tytułu ryzyka rozliczenia - dostawy</t>
  </si>
  <si>
    <t xml:space="preserve">   - Wymogi kapitałowe dla ryzyka cen kapitałowych papierów wartościowych, 
     ryzyka cen instrumentów dłużnych, walutowego i cen towarów</t>
  </si>
  <si>
    <t xml:space="preserve">   - Wymóg kapitałowy z tytułu ryzyka operacyjnego</t>
  </si>
  <si>
    <t xml:space="preserve">   - Wymóg kapitałowy z tytułu ryzyka ogólnego stóp procentowych</t>
  </si>
  <si>
    <t xml:space="preserve">   - Wymóg kapitałowy z tytułu przekroczenia limitu koncentracji zaangażowań </t>
  </si>
  <si>
    <t>Całkowity wymóg kapitałowy obliczony z zastosowaniem metody zaawansowanej (AIRB) do kalkulacji wymogu na ryzyko kredytowe</t>
  </si>
  <si>
    <t>Całkowity wymóg kapitałowy obliczony z zastosowaniem metody standardowej (SA) do kalkulacji wymogu na ryzyko kredytowe</t>
  </si>
  <si>
    <t>Dane bilansowe:</t>
  </si>
  <si>
    <t xml:space="preserve"> - Liabilities due to the Central Bank</t>
  </si>
  <si>
    <t xml:space="preserve"> - Net income on the measurement of the deposits designated to be measured at their fair value</t>
  </si>
  <si>
    <t>A. Own equity in the statement of financial position, of which:</t>
  </si>
  <si>
    <t xml:space="preserve">            - share capital</t>
  </si>
  <si>
    <t xml:space="preserve">            - supplementary capital - issuance of shares over nominal value</t>
  </si>
  <si>
    <t xml:space="preserve">            - supplementary capital - other</t>
  </si>
  <si>
    <t xml:space="preserve">            - reserve capital</t>
  </si>
  <si>
    <t xml:space="preserve">            - general risk fund</t>
  </si>
  <si>
    <t xml:space="preserve">            - retained profit of past years</t>
  </si>
  <si>
    <t xml:space="preserve">            - revaluation reserve from measurement of available-for-sale financial assets
            (unrealised losses)</t>
  </si>
  <si>
    <t xml:space="preserve">     A.I. Own equity included in tier 1 capital, of which:</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</si>
  <si>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</si>
  <si>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</si>
  <si>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</si>
  <si>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revaluation of share-based payment</t>
  </si>
  <si>
    <t xml:space="preserve">            - net profit of current period in unaudited part</t>
  </si>
  <si>
    <t>B. Other elements of own funds (decreases and increases), of which:</t>
  </si>
  <si>
    <t xml:space="preserve">     B.I. Other elements of tier 1 capital:</t>
  </si>
  <si>
    <t xml:space="preserve">     B.II. Other elements of tier 2 capital:</t>
  </si>
  <si>
    <t>CAPITAL REQUIREMENTS</t>
  </si>
  <si>
    <t xml:space="preserve">   - Capital requirements for credit risk, credit counterparty, dilution and delivery
of instruments for future settlement</t>
  </si>
  <si>
    <t xml:space="preserve">   - Capital requirement for the risk of settlement - delivery</t>
  </si>
  <si>
    <t xml:space="preserve">   - Capital requirements for the capital securities rate risk, debt instruments rates
risk, FX risk and commodity rates risk</t>
  </si>
  <si>
    <t xml:space="preserve">   - Capital requirement for operational risk</t>
  </si>
  <si>
    <t xml:space="preserve">   - Capital requirement for general interest rate risk</t>
  </si>
  <si>
    <t xml:space="preserve">   - Capital requirement due to exposure concentration limit overrun</t>
  </si>
  <si>
    <t xml:space="preserve"> - deposits</t>
  </si>
  <si>
    <t xml:space="preserve">            - non-controlling interests</t>
  </si>
  <si>
    <r>
      <t xml:space="preserve">Loans and receivables to customers (net) </t>
    </r>
    <r>
      <rPr>
        <vertAlign val="superscript"/>
        <sz val="9"/>
        <rFont val="Arial"/>
        <family val="2"/>
      </rPr>
      <t>4</t>
    </r>
    <r>
      <rPr>
        <sz val="9"/>
        <rFont val="Arial"/>
        <family val="2"/>
      </rPr>
      <t xml:space="preserve">, </t>
    </r>
    <r>
      <rPr>
        <sz val="8"/>
        <rFont val="Arial"/>
        <family val="2"/>
      </rPr>
      <t>of which:</t>
    </r>
  </si>
  <si>
    <t xml:space="preserve">        - including: supplementation of the credit risk capital requirement
          to the requirement computed using the standard method</t>
  </si>
  <si>
    <t>Total capital requirement computed with Advanced Internal Rating-Based method (AIRB) for calculation of the credit risk requirement</t>
  </si>
  <si>
    <t>Total capital requirement computed with Standard Approach (SA) for calculation of the credit risk requirement</t>
  </si>
  <si>
    <t>TIER 1  ratio (SA)</t>
  </si>
  <si>
    <t>TIER 1  ratio (AIRB)</t>
  </si>
  <si>
    <r>
      <t>7</t>
    </r>
    <r>
      <rPr>
        <i/>
        <sz val="8"/>
        <color indexed="8"/>
        <rFont val="Arial"/>
        <family val="2"/>
      </rPr>
      <t xml:space="preserve"> After making figures comparable (1:10 split in Q4 2011)</t>
    </r>
  </si>
  <si>
    <r>
      <t>7</t>
    </r>
    <r>
      <rPr>
        <i/>
        <sz val="8"/>
        <color indexed="8"/>
        <rFont val="Arial"/>
        <family val="2"/>
      </rPr>
      <t xml:space="preserve"> Po doprowadzeniu do porównywalności (podział w stosunku 1:10 w IV kwartale 2011 roku)</t>
    </r>
  </si>
  <si>
    <r>
      <t xml:space="preserve">Number of shares </t>
    </r>
    <r>
      <rPr>
        <vertAlign val="superscript"/>
        <sz val="9"/>
        <rFont val="Arial"/>
        <family val="2"/>
      </rPr>
      <t>7</t>
    </r>
  </si>
  <si>
    <r>
      <t xml:space="preserve">Liczba akcji </t>
    </r>
    <r>
      <rPr>
        <vertAlign val="superscript"/>
        <sz val="8"/>
        <rFont val="Arial"/>
        <family val="2"/>
      </rPr>
      <t>7</t>
    </r>
  </si>
  <si>
    <t xml:space="preserve">            - other revaluation reserve</t>
  </si>
  <si>
    <t>Cost /Income ratio (C/I) as % - cumulatively</t>
  </si>
  <si>
    <t>CONSOLIDATED INCOME STATEMENT
Corporate customers segment</t>
  </si>
  <si>
    <t>Net fees &amp; commission income</t>
  </si>
  <si>
    <t>Fees and commission income</t>
  </si>
  <si>
    <t>Total fees and comission income</t>
  </si>
  <si>
    <t>Fees adn commission expenses</t>
  </si>
  <si>
    <t>1Q - N/A</t>
  </si>
  <si>
    <t xml:space="preserve">1Q </t>
  </si>
  <si>
    <t>2007 - N/A</t>
  </si>
  <si>
    <t xml:space="preserve">Uwagi: </t>
  </si>
  <si>
    <t xml:space="preserve">Notes: </t>
  </si>
  <si>
    <t>OWN FUNDS</t>
  </si>
  <si>
    <t>Aktywa finansowe desygnowane do wyceny do wartości godziwej przy początkowym ujęciu, w tym:</t>
  </si>
  <si>
    <t>Financial assets designated as at fair value upon initial recognition, of which:</t>
  </si>
  <si>
    <t xml:space="preserve">     B.III. Kapitał krótkoterminowy</t>
  </si>
  <si>
    <t xml:space="preserve"> - odsetki od zobowiązań z tytułu emisji papierów wartościowych</t>
  </si>
  <si>
    <t xml:space="preserve"> - interest on issue of debt securities</t>
  </si>
  <si>
    <t>Impairment losses</t>
  </si>
  <si>
    <t>Odpisy z tytułu trwałej utraty wartości</t>
  </si>
  <si>
    <t xml:space="preserve">   - Zobowiązania z tytułu emisji papierów wartościowych</t>
  </si>
  <si>
    <t xml:space="preserve"> - Liabilities under issue of debt securities</t>
  </si>
  <si>
    <t xml:space="preserve">            - intangible assets</t>
  </si>
  <si>
    <t xml:space="preserve">     B.III. Tier 3 (short-term) capital</t>
  </si>
  <si>
    <t xml:space="preserve"> - odsetki od zobowiązań finansowych przeznaczonych do obrotu</t>
  </si>
  <si>
    <t xml:space="preserve"> - prowadzenie rachunków klientów</t>
  </si>
  <si>
    <t xml:space="preserve"> - karty płatnicze i kredytowe</t>
  </si>
  <si>
    <t xml:space="preserve"> - udzielanie kredytów</t>
  </si>
  <si>
    <t xml:space="preserve"> - dystrybucja jednostek uczestnictwa</t>
  </si>
  <si>
    <t xml:space="preserve"> - działalność maklerska</t>
  </si>
  <si>
    <t xml:space="preserve"> - działalność powiernicza</t>
  </si>
  <si>
    <t xml:space="preserve"> - usługi faktoringowe i leasingowe</t>
  </si>
  <si>
    <t xml:space="preserve"> -zagraniczne operacje handlowe</t>
  </si>
  <si>
    <t xml:space="preserve"> - subskrypcja depozytów strukturyzowanych</t>
  </si>
  <si>
    <t xml:space="preserve"> - odsetki od kredytów i innych należności udzielonych klientom, 
   w tym:</t>
  </si>
  <si>
    <t xml:space="preserve">       - odsetki od umów leasingowych</t>
  </si>
  <si>
    <t xml:space="preserve"> - odsetki od aktywów finansowych dostepnych do sprzedaży</t>
  </si>
  <si>
    <t xml:space="preserve"> - odsetki od aktywów finansowych przeznaczonych do obrotu</t>
  </si>
  <si>
    <t xml:space="preserve"> - odsetki od aktywów finansowych utrzymywanych do terminu wymagalności</t>
  </si>
  <si>
    <t xml:space="preserve"> - odsetki od aktywów finansowych desygnowanych do wyceny do wartości godziwej przy początkowym ujęciu</t>
  </si>
  <si>
    <t xml:space="preserve">   - Należności od klientów z tytułu transakcji z przyrzeczeniem odkupu</t>
  </si>
  <si>
    <t xml:space="preserve">   - Zobowiązania wobec klientów z tytułu transakcji z przyrzeczeniem odkupu</t>
  </si>
  <si>
    <t xml:space="preserve">     - transakcje z przyrzeczeniem odkupu</t>
  </si>
  <si>
    <t>Współczynnik TIER 1</t>
  </si>
  <si>
    <t>Współczynnik TIER 1 - metoda zaawansowana (AIRB)</t>
  </si>
  <si>
    <t>Współczynnik TIER 1 - metoda standardowa (SA)</t>
  </si>
  <si>
    <t xml:space="preserve">       - odsetki od umów faktoringowych</t>
  </si>
  <si>
    <t xml:space="preserve">       - interest on leasing agreements</t>
  </si>
  <si>
    <t xml:space="preserve">       - interest on factoring agreements</t>
  </si>
  <si>
    <t xml:space="preserve"> - interest on repo transactions</t>
  </si>
  <si>
    <t xml:space="preserve"> - interest on available-for-sale debt securities</t>
  </si>
  <si>
    <t xml:space="preserve"> - interest on debt securities held for trading</t>
  </si>
  <si>
    <t xml:space="preserve"> - interest on held-to-maturity debt securities</t>
  </si>
  <si>
    <t xml:space="preserve"> - interest on debt securities designated as fair value at initial recognition</t>
  </si>
  <si>
    <t xml:space="preserve"> - oferowanie produktów ubezpieczeniowych</t>
  </si>
  <si>
    <t xml:space="preserve"> - commission related to insurance product offering</t>
  </si>
  <si>
    <t xml:space="preserve"> - Receivables from customers due to repo transactions</t>
  </si>
  <si>
    <t xml:space="preserve"> - Liabilities due to customers under repo transactions</t>
  </si>
  <si>
    <t xml:space="preserve"> - repo transactions</t>
  </si>
  <si>
    <t>TIER 1 ratio</t>
  </si>
  <si>
    <t>Comparable data pro-forma</t>
  </si>
  <si>
    <t>Dane porównywalne pro-forma</t>
  </si>
  <si>
    <t xml:space="preserve">   - Uzupełnienie do ogólnego poziomu wymogów kapitałowych</t>
  </si>
  <si>
    <t xml:space="preserve"> - odsetki od transakcji z przyrzeczeniem odkupu zawartych z klientami</t>
  </si>
  <si>
    <t>Podmioty gospodarcze, w tym:</t>
  </si>
  <si>
    <t xml:space="preserve"> - Depozyty, w tym:</t>
  </si>
  <si>
    <t xml:space="preserve"> - Pozostałe zobowiązania</t>
  </si>
  <si>
    <t>Gospodarstwa domowe, w tym:</t>
  </si>
  <si>
    <t>Obligacje komunalne</t>
  </si>
  <si>
    <t>Euroobligacje</t>
  </si>
  <si>
    <t xml:space="preserve"> - Kredyty i pożyczki, w tym:</t>
  </si>
  <si>
    <t xml:space="preserve"> - Należności leasingowe</t>
  </si>
  <si>
    <t xml:space="preserve"> - Należności faktoringowe</t>
  </si>
  <si>
    <t xml:space="preserve"> - Obligacje korporacyjne</t>
  </si>
  <si>
    <t xml:space="preserve"> - Pozostałe należności</t>
  </si>
  <si>
    <t xml:space="preserve"> - Podmioty gospodarcze, w tym:</t>
  </si>
  <si>
    <t xml:space="preserve">     - dotyczący obligacji korporacyjnych</t>
  </si>
  <si>
    <t xml:space="preserve"> - Gospodarstwa domowe, w tym:</t>
  </si>
  <si>
    <t>Portfel kredytowy, w tym:</t>
  </si>
  <si>
    <t xml:space="preserve"> - Kredyty i pożyczki</t>
  </si>
  <si>
    <t xml:space="preserve"> - Obligacje korporacyjne i komunalne</t>
  </si>
  <si>
    <t>Inne należności, w tym:</t>
  </si>
  <si>
    <t xml:space="preserve"> - Euroobligacje</t>
  </si>
  <si>
    <t xml:space="preserve"> - dotyczący portfela kredytowego, w tym:</t>
  </si>
  <si>
    <t xml:space="preserve">          - dotyczący kredytów i pożyczek</t>
  </si>
  <si>
    <t xml:space="preserve">          - dotyczący należności leasingowych</t>
  </si>
  <si>
    <t xml:space="preserve">          - dotyczący należności faktoringowych</t>
  </si>
  <si>
    <t xml:space="preserve">          - dotyczący obligacji korporacyjnych i komunalnych</t>
  </si>
  <si>
    <t xml:space="preserve"> - dotyczący pozostałych należności</t>
  </si>
  <si>
    <t xml:space="preserve">   - Inwestycje</t>
  </si>
  <si>
    <t>Portfolio of loans and receivables, of which:</t>
  </si>
  <si>
    <t xml:space="preserve"> - Loans and advances</t>
  </si>
  <si>
    <t xml:space="preserve"> - Leasing  receivables</t>
  </si>
  <si>
    <t xml:space="preserve"> - Factoring  receivables</t>
  </si>
  <si>
    <t xml:space="preserve"> - Corporate and municipal bonds</t>
  </si>
  <si>
    <t>Other receivables, of which:</t>
  </si>
  <si>
    <t xml:space="preserve"> - T-eurobonds  </t>
  </si>
  <si>
    <t xml:space="preserve"> - Other</t>
  </si>
  <si>
    <t xml:space="preserve"> - concerning portfolio of loans and receivables, of which:</t>
  </si>
  <si>
    <t xml:space="preserve">          - concerning loans and advances</t>
  </si>
  <si>
    <t xml:space="preserve">          - concerning leasing receivables</t>
  </si>
  <si>
    <t xml:space="preserve">          - concerning factoring receivables</t>
  </si>
  <si>
    <t xml:space="preserve">          - concerning corporate and municipal bonds</t>
  </si>
  <si>
    <t>Business entities, of which:</t>
  </si>
  <si>
    <t xml:space="preserve">     - in the current account</t>
  </si>
  <si>
    <t xml:space="preserve">     - term ones</t>
  </si>
  <si>
    <t xml:space="preserve"> - Corporate bonds</t>
  </si>
  <si>
    <t>Households, of which:</t>
  </si>
  <si>
    <t xml:space="preserve"> - Business entities, of which:</t>
  </si>
  <si>
    <t xml:space="preserve">     - concerning corporate bonds</t>
  </si>
  <si>
    <t xml:space="preserve"> - Households, of which:</t>
  </si>
  <si>
    <t xml:space="preserve"> - Loans and advances, of which:</t>
  </si>
  <si>
    <t xml:space="preserve"> - Other receivables</t>
  </si>
  <si>
    <t xml:space="preserve">     - concerning loans and advances</t>
  </si>
  <si>
    <t xml:space="preserve">     - concerning leasing receivables</t>
  </si>
  <si>
    <t xml:space="preserve">     - concerning factoring receivables</t>
  </si>
  <si>
    <t xml:space="preserve">     - concerning other receivables</t>
  </si>
  <si>
    <t>Leasing  receivables</t>
  </si>
  <si>
    <t>Factoring  receivables</t>
  </si>
  <si>
    <t>Municipal bonds</t>
  </si>
  <si>
    <t>T-eurobonds</t>
  </si>
  <si>
    <t xml:space="preserve"> - Deposits, of which:</t>
  </si>
  <si>
    <t xml:space="preserve">     - current accounts</t>
  </si>
  <si>
    <t xml:space="preserve"> - interest on repo transactions concluded with customers</t>
  </si>
  <si>
    <t xml:space="preserve"> - interest on financial liabilities held for trading</t>
  </si>
  <si>
    <t xml:space="preserve">   - Supplement to the overall level of capital requirements</t>
  </si>
  <si>
    <t xml:space="preserve"> - Actuarial gains / losses</t>
  </si>
  <si>
    <t xml:space="preserve">            - actuarial gains / losses</t>
  </si>
  <si>
    <t xml:space="preserve">            - zyski / straty aktuarialne</t>
  </si>
  <si>
    <t xml:space="preserve">     A.II. Kapitały własne nie ujęte w wyliczeniu funduszy własnych, w tym:</t>
  </si>
  <si>
    <t>Łączny współczynnik kapitałowy</t>
  </si>
  <si>
    <t>Łączny współczynnik kapitałowy - metoda zaawansowana (AIRB)</t>
  </si>
  <si>
    <t>Łączny współczynnik kapitałowy - metoda standardowa (SA)</t>
  </si>
  <si>
    <t xml:space="preserve">            - niepodzielony wynik z lat ubiegłych</t>
  </si>
  <si>
    <t>Fundusze własne przyjęte do kalkulacji łącznego współczynnika kapitałowego według metody zaawansowanej (AIRB)</t>
  </si>
  <si>
    <t xml:space="preserve">   - Fundusze własne podstawowe - Tier 1</t>
  </si>
  <si>
    <t xml:space="preserve">   - Fundusze własne uzupełniające - Tier 2</t>
  </si>
  <si>
    <t xml:space="preserve">   - Kapitał krótkoterminowy - Tier 3</t>
  </si>
  <si>
    <t>Fundusze własne przyjęte do kalkulacji łącznego współczynnika kapitałowego według metody standardowej (SA)</t>
  </si>
  <si>
    <t xml:space="preserve">   - Kapitał z aktualizacji wyceny</t>
  </si>
  <si>
    <t xml:space="preserve">          - Nieruchomości inwestycyjne</t>
  </si>
  <si>
    <t xml:space="preserve">          - Rzeczowe aktywa trwałe</t>
  </si>
  <si>
    <t xml:space="preserve">          - Wartości niematerialne</t>
  </si>
  <si>
    <t xml:space="preserve">   - Aktywa majątkowe</t>
  </si>
  <si>
    <t xml:space="preserve">   - Aktywa z tytułu podatku dochodowego</t>
  </si>
  <si>
    <t xml:space="preserve">          - Aktywa z tytułu bieżącego podatku dochodowego</t>
  </si>
  <si>
    <t xml:space="preserve">          - Aktywa z tytułu odroczonego podatku dochodowego</t>
  </si>
  <si>
    <t xml:space="preserve">   - Zobowiązanie z tytułu podatku dochodowego</t>
  </si>
  <si>
    <t xml:space="preserve">          - Zobowiązanie z tytułu bieżącego podatku dochodowego</t>
  </si>
  <si>
    <t xml:space="preserve">          - Rezerwa z tytułu odroczonego podatku dochodowego</t>
  </si>
  <si>
    <t xml:space="preserve">          - Kapitał z aktualizacji wyceny aktywów finansowych dostępnych do sprzedaży </t>
  </si>
  <si>
    <t xml:space="preserve">          - Kapitał z aktualizacji wyceny rzeczowych aktywów trwałych </t>
  </si>
  <si>
    <t xml:space="preserve">          - Kapitał z aktualizacji wyceny instrumentów zabezpieczających przepływy pieniężne</t>
  </si>
  <si>
    <t xml:space="preserve">          - Zyski i straty aktuarialne</t>
  </si>
  <si>
    <t xml:space="preserve"> - Non-financial assets</t>
  </si>
  <si>
    <t xml:space="preserve"> - Tax assets</t>
  </si>
  <si>
    <t xml:space="preserve"> - Tax liabilities</t>
  </si>
  <si>
    <t xml:space="preserve"> - Revaluation reserve</t>
  </si>
  <si>
    <t>Total capital ratio</t>
  </si>
  <si>
    <t>Total capital ratio (AIRB)</t>
  </si>
  <si>
    <t>Total capital ratio (SA)</t>
  </si>
  <si>
    <t xml:space="preserve">            - profit during the approval</t>
  </si>
  <si>
    <t xml:space="preserve">     Kapitały własne ujęte w funduszach uzupełniających, w tym:</t>
  </si>
  <si>
    <t xml:space="preserve">     Own equity included in tier 2 capital, of which:</t>
  </si>
  <si>
    <t xml:space="preserve">     A.II. Own equity excluded from own funds calculation, of which:</t>
  </si>
  <si>
    <t xml:space="preserve">            - dividend declared to shareholders</t>
  </si>
  <si>
    <t xml:space="preserve">            - zaangażowania kapitałowe banku w instytucje finansowe</t>
  </si>
  <si>
    <t xml:space="preserve">            - capital commitments in financial institutions</t>
  </si>
  <si>
    <t xml:space="preserve">            - amount of expected losses - only in AIRB method</t>
  </si>
  <si>
    <t>Own funds taken into account in total capital ratio calculation according to advanced method (AIRB)
(A.I. + A.II. + B.I. + B.II.), of which:</t>
  </si>
  <si>
    <t>Own funds taken into account in total capital ratio calculation according to standard method (SA)
(A.I. + A.II. + B.I. + B.II.), of which:</t>
  </si>
  <si>
    <t xml:space="preserve">   - Tier 3 (short-term) capital</t>
  </si>
  <si>
    <t xml:space="preserve">   - Tier 2 capital</t>
  </si>
  <si>
    <t xml:space="preserve">   - Tier 1 capital</t>
  </si>
  <si>
    <t>Total capital ratio (consolidated) as %</t>
  </si>
  <si>
    <t>Łączny współczynnik kapitałowy skonsolidowany w %</t>
  </si>
  <si>
    <t>Total capital ratio (standalone) as %</t>
  </si>
  <si>
    <t>Łączny współczynnik kapitałowy jednostkowy w %</t>
  </si>
  <si>
    <t xml:space="preserve">   - Inwestycje w jednostki stowarzyszone wyceniane metodą praw własności</t>
  </si>
  <si>
    <t xml:space="preserve">   - Aktywa trwałe przeznaczone do sprzedaży </t>
  </si>
  <si>
    <t xml:space="preserve">            - niedobór/nadwyżka korekt z tytułu ryzyka kredytowego wobec oczekiwanych strat według metody AIRB</t>
  </si>
  <si>
    <t xml:space="preserve">     - rachunki terminowe i oszczędnościowe</t>
  </si>
  <si>
    <t xml:space="preserve">     - term deposit and saving accounts</t>
  </si>
  <si>
    <t xml:space="preserve"> - Wynik na instrumentach finansowych wycenianych przez rachunek zysków i strat oraz wynik z pozycji wymiany</t>
  </si>
  <si>
    <t xml:space="preserve"> - Odpisy na utratę wartości aktywów finansowych i rezerwy na zobowiazania pozabilansowe</t>
  </si>
  <si>
    <t xml:space="preserve"> - Udział w zyskach netto jednostek stowarzyszonych wycenianych metodą praw własności</t>
  </si>
  <si>
    <t>- supplementary capital - other</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</si>
</sst>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
    <numFmt numFmtId="183" formatCode="&quot;Tak&quot;;&quot;Tak&quot;;&quot;Nie&quot;"/>
    <numFmt numFmtId="184" formatCode="&quot;Prawda&quot;;&quot;Prawda&quot;;&quot;Fałsz&quot;"/>
    <numFmt numFmtId="185" formatCode="&quot;Włączone&quot;;&quot;Włączone&quot;;&quot;Wyłączone&quot;"/>
    <numFmt numFmtId="186" formatCode="[$€-2]\ #,##0.00_);[Red]\([$€-2]\ #,##0.00\)"/>
  </numFmts>
  <fonts count="108">
    <font>
      <sz val="10"/>
      <name val="Arial CE"/>
      <family val="0"/>
    </font>
    <font>
      <sz val="11"/>
      <color indexed="8"/>
      <name val="Calibri"/>
      <family val="2"/>
    </font>
    <font>
      <sz val="10"/>
      <name val="Arial"/>
      <family val="2"/>
    </font>
    <font>
      <sz val="9"/>
      <name val="Arial"/>
      <family val="2"/>
    </font>
    <font>
      <i/>
      <sz val="10"/>
      <name val="Arial"/>
      <family val="2"/>
    </font>
    <font>
      <sz val="10"/>
      <name val="Courier"/>
      <family val="3"/>
    </font>
    <font>
      <b/>
      <sz val="9"/>
      <name val="Arial"/>
      <family val="2"/>
    </font>
    <font>
      <b/>
      <sz val="10"/>
      <name val="Arial"/>
      <family val="2"/>
    </font>
    <font>
      <sz val="8"/>
      <name val="Arial"/>
      <family val="2"/>
    </font>
    <font>
      <b/>
      <sz val="12"/>
      <color indexed="9"/>
      <name val="Arial"/>
      <family val="2"/>
    </font>
    <font>
      <vertAlign val="superscript"/>
      <sz val="9"/>
      <name val="Arial"/>
      <family val="2"/>
    </font>
    <font>
      <sz val="10"/>
      <color indexed="53"/>
      <name val="Arial"/>
      <family val="2"/>
    </font>
    <font>
      <i/>
      <vertAlign val="superscript"/>
      <sz val="8"/>
      <color indexed="8"/>
      <name val="Arial"/>
      <family val="2"/>
    </font>
    <font>
      <i/>
      <sz val="8"/>
      <color indexed="8"/>
      <name val="Arial"/>
      <family val="2"/>
    </font>
    <font>
      <i/>
      <sz val="9"/>
      <name val="Arial"/>
      <family val="2"/>
    </font>
    <font>
      <vertAlign val="superscript"/>
      <sz val="8"/>
      <name val="Arial"/>
      <family val="2"/>
    </font>
    <font>
      <b/>
      <sz val="8"/>
      <color indexed="9"/>
      <name val="Arial"/>
      <family val="2"/>
    </font>
    <font>
      <b/>
      <sz val="8"/>
      <name val="Arial"/>
      <family val="2"/>
    </font>
    <font>
      <i/>
      <sz val="8"/>
      <name val="Arial"/>
      <family val="2"/>
    </font>
    <font>
      <b/>
      <i/>
      <sz val="10"/>
      <name val="Arial"/>
      <family val="2"/>
    </font>
    <font>
      <i/>
      <vertAlign val="superscript"/>
      <sz val="8"/>
      <name val="Arial"/>
      <family val="2"/>
    </font>
    <font>
      <i/>
      <sz val="8"/>
      <name val="Arial CE"/>
      <family val="0"/>
    </font>
    <font>
      <i/>
      <sz val="10"/>
      <name val="Arial CE"/>
      <family val="0"/>
    </font>
    <font>
      <b/>
      <i/>
      <sz val="9"/>
      <name val="Arial CE"/>
      <family val="0"/>
    </font>
    <font>
      <sz val="8"/>
      <name val="Tahoma"/>
      <family val="2"/>
    </font>
    <font>
      <b/>
      <sz val="10"/>
      <color indexed="10"/>
      <name val="Arial"/>
      <family val="2"/>
    </font>
    <font>
      <b/>
      <i/>
      <sz val="8"/>
      <name val="Arial"/>
      <family val="2"/>
    </font>
    <font>
      <b/>
      <sz val="9"/>
      <color indexed="8"/>
      <name val="Arial"/>
      <family val="2"/>
    </font>
    <font>
      <b/>
      <i/>
      <sz val="9"/>
      <name val="Arial"/>
      <family val="2"/>
    </font>
    <font>
      <i/>
      <sz val="7"/>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53"/>
      <name val="Arial"/>
      <family val="2"/>
    </font>
    <font>
      <b/>
      <sz val="8"/>
      <color indexed="23"/>
      <name val="Arial"/>
      <family val="2"/>
    </font>
    <font>
      <sz val="8"/>
      <color indexed="23"/>
      <name val="Arial"/>
      <family val="2"/>
    </font>
    <font>
      <b/>
      <sz val="9"/>
      <color indexed="9"/>
      <name val="Arial"/>
      <family val="2"/>
    </font>
    <font>
      <b/>
      <sz val="8"/>
      <color indexed="8"/>
      <name val="Arial"/>
      <family val="2"/>
    </font>
    <font>
      <i/>
      <sz val="8"/>
      <color indexed="23"/>
      <name val="Arial"/>
      <family val="2"/>
    </font>
    <font>
      <sz val="10"/>
      <color indexed="23"/>
      <name val="Arial CE"/>
      <family val="0"/>
    </font>
    <font>
      <b/>
      <i/>
      <sz val="9"/>
      <color indexed="8"/>
      <name val="Arial"/>
      <family val="2"/>
    </font>
    <font>
      <b/>
      <i/>
      <sz val="8"/>
      <color indexed="8"/>
      <name val="Arial"/>
      <family val="2"/>
    </font>
    <font>
      <sz val="8"/>
      <color indexed="8"/>
      <name val="Arial"/>
      <family val="2"/>
    </font>
    <font>
      <b/>
      <sz val="10"/>
      <color indexed="8"/>
      <name val="Arial"/>
      <family val="2"/>
    </font>
    <font>
      <b/>
      <i/>
      <sz val="9"/>
      <color indexed="9"/>
      <name val="Arial"/>
      <family val="2"/>
    </font>
    <font>
      <b/>
      <i/>
      <sz val="11"/>
      <color indexed="53"/>
      <name val="Arial"/>
      <family val="2"/>
    </font>
    <font>
      <sz val="11"/>
      <color indexed="53"/>
      <name val="Arial CE"/>
      <family val="0"/>
    </font>
    <font>
      <sz val="11"/>
      <color indexed="53"/>
      <name val="Arial"/>
      <family val="2"/>
    </font>
    <font>
      <i/>
      <sz val="8"/>
      <color indexed="9"/>
      <name val="Arial"/>
      <family val="2"/>
    </font>
    <font>
      <sz val="8"/>
      <color indexed="9"/>
      <name val="Arial"/>
      <family val="2"/>
    </font>
    <font>
      <sz val="10"/>
      <color indexed="51"/>
      <name val="Arial"/>
      <family val="2"/>
    </font>
    <font>
      <b/>
      <i/>
      <sz val="10"/>
      <color indexed="2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FF6600"/>
      <name val="Arial"/>
      <family val="2"/>
    </font>
    <font>
      <b/>
      <sz val="8"/>
      <color theme="0"/>
      <name val="Arial"/>
      <family val="2"/>
    </font>
    <font>
      <b/>
      <sz val="8"/>
      <color theme="0" tint="-0.4999699890613556"/>
      <name val="Arial"/>
      <family val="2"/>
    </font>
    <font>
      <sz val="8"/>
      <color theme="0" tint="-0.4999699890613556"/>
      <name val="Arial"/>
      <family val="2"/>
    </font>
    <font>
      <b/>
      <sz val="9"/>
      <color theme="0"/>
      <name val="Arial"/>
      <family val="2"/>
    </font>
    <font>
      <b/>
      <sz val="9"/>
      <color theme="1"/>
      <name val="Arial"/>
      <family val="2"/>
    </font>
    <font>
      <b/>
      <sz val="8"/>
      <color theme="1"/>
      <name val="Arial"/>
      <family val="2"/>
    </font>
    <font>
      <i/>
      <sz val="8"/>
      <color theme="0" tint="-0.4999699890613556"/>
      <name val="Arial"/>
      <family val="2"/>
    </font>
    <font>
      <sz val="10"/>
      <color theme="0" tint="-0.4999699890613556"/>
      <name val="Arial CE"/>
      <family val="0"/>
    </font>
    <font>
      <b/>
      <i/>
      <sz val="9"/>
      <color theme="1"/>
      <name val="Arial"/>
      <family val="2"/>
    </font>
    <font>
      <b/>
      <i/>
      <sz val="8"/>
      <color theme="1"/>
      <name val="Arial"/>
      <family val="2"/>
    </font>
    <font>
      <sz val="8"/>
      <color theme="1"/>
      <name val="Arial"/>
      <family val="2"/>
    </font>
    <font>
      <b/>
      <sz val="10"/>
      <color theme="1"/>
      <name val="Arial"/>
      <family val="2"/>
    </font>
    <font>
      <b/>
      <i/>
      <sz val="9"/>
      <color theme="0"/>
      <name val="Arial"/>
      <family val="2"/>
    </font>
    <font>
      <b/>
      <i/>
      <sz val="11"/>
      <color rgb="FFFF6600"/>
      <name val="Arial"/>
      <family val="2"/>
    </font>
    <font>
      <sz val="11"/>
      <color rgb="FFFF6600"/>
      <name val="Arial CE"/>
      <family val="0"/>
    </font>
    <font>
      <sz val="11"/>
      <color rgb="FFFF6600"/>
      <name val="Arial"/>
      <family val="2"/>
    </font>
    <font>
      <i/>
      <sz val="8"/>
      <color theme="0"/>
      <name val="Arial"/>
      <family val="2"/>
    </font>
    <font>
      <sz val="8"/>
      <color theme="0"/>
      <name val="Arial"/>
      <family val="2"/>
    </font>
    <font>
      <sz val="10"/>
      <color rgb="FFFFC000"/>
      <name val="Arial"/>
      <family val="2"/>
    </font>
    <font>
      <b/>
      <i/>
      <sz val="10"/>
      <color theme="0" tint="-0.4999699890613556"/>
      <name val="Arial"/>
      <family val="2"/>
    </font>
    <font>
      <b/>
      <sz val="8"/>
      <name val="Arial C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3"/>
        <bgColor indexed="64"/>
      </patternFill>
    </fill>
    <fill>
      <patternFill patternType="solid">
        <fgColor theme="0"/>
        <bgColor indexed="64"/>
      </patternFill>
    </fill>
    <fill>
      <patternFill patternType="solid">
        <fgColor rgb="FFFF6600"/>
        <bgColor indexed="64"/>
      </patternFill>
    </fill>
    <fill>
      <patternFill patternType="solid">
        <fgColor rgb="FFFFFF9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hair"/>
      <bottom style="hair"/>
    </border>
    <border>
      <left style="hair"/>
      <right/>
      <top style="hair"/>
      <bottom style="hair"/>
    </border>
    <border>
      <left/>
      <right style="hair"/>
      <top style="hair"/>
      <bottom style="hair"/>
    </border>
    <border>
      <left/>
      <right/>
      <top style="hair"/>
      <bottom/>
    </border>
    <border>
      <left style="hair"/>
      <right/>
      <top/>
      <bottom/>
    </border>
    <border>
      <left/>
      <right style="hair"/>
      <top/>
      <bottom/>
    </border>
    <border>
      <left style="hair"/>
      <right/>
      <top style="hair"/>
      <bottom/>
    </border>
    <border>
      <left/>
      <right style="hair"/>
      <top style="hair"/>
      <bottom/>
    </border>
    <border>
      <left/>
      <right/>
      <top/>
      <bottom style="hair"/>
    </border>
    <border>
      <left style="hair"/>
      <right/>
      <top/>
      <bottom style="hair"/>
    </border>
    <border>
      <left/>
      <right style="hair"/>
      <top/>
      <bottom style="hair"/>
    </border>
    <border>
      <left style="hair"/>
      <right style="hair"/>
      <top style="hair"/>
      <bottom style="hair"/>
    </border>
    <border>
      <left/>
      <right/>
      <top style="medium">
        <color rgb="FFFF6600"/>
      </top>
      <bottom style="medium">
        <color rgb="FFFF6600"/>
      </bottom>
    </border>
    <border>
      <left style="hair"/>
      <right/>
      <top style="medium">
        <color rgb="FFFF6600"/>
      </top>
      <bottom style="medium">
        <color rgb="FFFF6600"/>
      </bottom>
    </border>
    <border>
      <left/>
      <right style="hair"/>
      <top style="medium">
        <color rgb="FFFF6600"/>
      </top>
      <bottom style="medium">
        <color rgb="FFFF6600"/>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2"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2" fillId="0" borderId="0">
      <alignment vertical="center"/>
      <protection/>
    </xf>
    <xf numFmtId="0" fontId="0"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79" fillId="27" borderId="1" applyNumberFormat="0" applyAlignment="0" applyProtection="0"/>
    <xf numFmtId="0" fontId="8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0" fontId="81" fillId="0" borderId="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9"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85" fillId="32" borderId="0" applyNumberFormat="0" applyBorder="0" applyAlignment="0" applyProtection="0"/>
  </cellStyleXfs>
  <cellXfs count="354">
    <xf numFmtId="0" fontId="0" fillId="0" borderId="0" xfId="0" applyAlignment="1">
      <alignment/>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Fill="1" applyBorder="1" applyAlignment="1">
      <alignment vertical="center"/>
    </xf>
    <xf numFmtId="3" fontId="2" fillId="0" borderId="10" xfId="0" applyNumberFormat="1" applyFont="1" applyFill="1" applyBorder="1" applyAlignment="1">
      <alignment vertical="center"/>
    </xf>
    <xf numFmtId="3" fontId="4" fillId="0" borderId="10" xfId="0" applyNumberFormat="1" applyFont="1" applyFill="1" applyBorder="1" applyAlignment="1">
      <alignment vertical="center"/>
    </xf>
    <xf numFmtId="0" fontId="4" fillId="0" borderId="0" xfId="0" applyFont="1" applyFill="1" applyBorder="1" applyAlignment="1">
      <alignment vertical="center"/>
    </xf>
    <xf numFmtId="0" fontId="6" fillId="0" borderId="10" xfId="0" applyFont="1" applyFill="1" applyBorder="1" applyAlignment="1">
      <alignment vertical="center" wrapText="1"/>
    </xf>
    <xf numFmtId="0" fontId="7" fillId="0" borderId="0" xfId="0" applyFont="1" applyFill="1" applyBorder="1" applyAlignment="1">
      <alignment vertical="center"/>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vertical="center" wrapText="1"/>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wrapText="1"/>
    </xf>
    <xf numFmtId="0" fontId="11" fillId="0" borderId="0" xfId="0" applyFont="1" applyBorder="1" applyAlignment="1">
      <alignment vertical="center"/>
    </xf>
    <xf numFmtId="3" fontId="2" fillId="0" borderId="11" xfId="0" applyNumberFormat="1" applyFont="1" applyFill="1" applyBorder="1" applyAlignment="1">
      <alignment vertical="center"/>
    </xf>
    <xf numFmtId="3" fontId="4" fillId="0" borderId="12" xfId="0" applyNumberFormat="1" applyFont="1" applyFill="1" applyBorder="1" applyAlignment="1">
      <alignment vertical="center"/>
    </xf>
    <xf numFmtId="3" fontId="2" fillId="0" borderId="12" xfId="0" applyNumberFormat="1" applyFont="1" applyFill="1" applyBorder="1" applyAlignment="1">
      <alignment vertical="center"/>
    </xf>
    <xf numFmtId="3" fontId="3" fillId="0" borderId="10" xfId="0" applyNumberFormat="1" applyFont="1" applyFill="1" applyBorder="1" applyAlignment="1">
      <alignment vertical="center"/>
    </xf>
    <xf numFmtId="3" fontId="8" fillId="0" borderId="10" xfId="0" applyNumberFormat="1" applyFont="1" applyFill="1" applyBorder="1" applyAlignment="1">
      <alignment horizontal="righ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0" xfId="0" applyNumberFormat="1" applyFont="1" applyFill="1" applyBorder="1" applyAlignment="1">
      <alignment vertical="center"/>
    </xf>
    <xf numFmtId="0" fontId="8" fillId="0" borderId="0" xfId="0" applyFont="1" applyBorder="1" applyAlignment="1">
      <alignment vertical="center"/>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3" fontId="8" fillId="0" borderId="12" xfId="0" applyNumberFormat="1" applyFont="1" applyFill="1" applyBorder="1" applyAlignment="1">
      <alignment vertical="center"/>
    </xf>
    <xf numFmtId="0" fontId="8" fillId="0" borderId="0" xfId="0" applyFont="1" applyFill="1" applyBorder="1" applyAlignment="1">
      <alignment vertical="center"/>
    </xf>
    <xf numFmtId="0" fontId="3" fillId="0" borderId="13" xfId="0" applyFont="1" applyFill="1" applyBorder="1" applyAlignment="1">
      <alignment horizontal="left" vertical="center" wrapText="1"/>
    </xf>
    <xf numFmtId="3" fontId="86" fillId="0" borderId="11" xfId="0" applyNumberFormat="1" applyFont="1" applyFill="1" applyBorder="1" applyAlignment="1">
      <alignment vertical="center"/>
    </xf>
    <xf numFmtId="3" fontId="86" fillId="0" borderId="10" xfId="0" applyNumberFormat="1" applyFont="1" applyFill="1" applyBorder="1" applyAlignment="1">
      <alignment vertical="center"/>
    </xf>
    <xf numFmtId="3" fontId="86" fillId="0" borderId="12" xfId="0" applyNumberFormat="1" applyFont="1" applyFill="1" applyBorder="1" applyAlignment="1">
      <alignment vertical="center"/>
    </xf>
    <xf numFmtId="3" fontId="16" fillId="33" borderId="14" xfId="0" applyNumberFormat="1" applyFont="1" applyFill="1" applyBorder="1" applyAlignment="1">
      <alignment horizontal="right" vertical="center" wrapText="1"/>
    </xf>
    <xf numFmtId="3" fontId="16" fillId="33" borderId="0" xfId="0" applyNumberFormat="1" applyFont="1" applyFill="1" applyBorder="1" applyAlignment="1">
      <alignment horizontal="right" vertical="center" wrapText="1"/>
    </xf>
    <xf numFmtId="3" fontId="16" fillId="33" borderId="15" xfId="0" applyNumberFormat="1" applyFont="1" applyFill="1" applyBorder="1" applyAlignment="1">
      <alignment horizontal="right" vertical="center" wrapText="1"/>
    </xf>
    <xf numFmtId="0" fontId="1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80" fontId="8" fillId="0" borderId="11" xfId="0" applyNumberFormat="1" applyFont="1" applyFill="1" applyBorder="1" applyAlignment="1">
      <alignment vertical="center"/>
    </xf>
    <xf numFmtId="180" fontId="8" fillId="0" borderId="10" xfId="0" applyNumberFormat="1" applyFont="1" applyFill="1" applyBorder="1" applyAlignment="1">
      <alignment vertical="center"/>
    </xf>
    <xf numFmtId="180" fontId="8" fillId="0" borderId="12" xfId="0" applyNumberFormat="1" applyFont="1" applyFill="1" applyBorder="1" applyAlignment="1">
      <alignment vertical="center"/>
    </xf>
    <xf numFmtId="0" fontId="8" fillId="0" borderId="13" xfId="0" applyFont="1" applyFill="1" applyBorder="1" applyAlignment="1">
      <alignment horizontal="left" vertical="center" wrapText="1"/>
    </xf>
    <xf numFmtId="180" fontId="8" fillId="0" borderId="16" xfId="0" applyNumberFormat="1" applyFont="1" applyFill="1" applyBorder="1" applyAlignment="1">
      <alignment vertical="center"/>
    </xf>
    <xf numFmtId="180" fontId="8" fillId="0" borderId="13" xfId="0" applyNumberFormat="1" applyFont="1" applyFill="1" applyBorder="1" applyAlignment="1">
      <alignment vertical="center"/>
    </xf>
    <xf numFmtId="180" fontId="8" fillId="0" borderId="17" xfId="0" applyNumberFormat="1" applyFont="1" applyFill="1" applyBorder="1" applyAlignment="1">
      <alignment vertical="center"/>
    </xf>
    <xf numFmtId="180" fontId="17" fillId="0" borderId="11" xfId="0" applyNumberFormat="1" applyFont="1" applyFill="1" applyBorder="1" applyAlignment="1">
      <alignment vertical="center"/>
    </xf>
    <xf numFmtId="180" fontId="17" fillId="0" borderId="10" xfId="0" applyNumberFormat="1" applyFont="1" applyFill="1" applyBorder="1" applyAlignment="1">
      <alignment vertical="center"/>
    </xf>
    <xf numFmtId="180" fontId="17" fillId="0" borderId="12" xfId="0" applyNumberFormat="1" applyFont="1" applyFill="1" applyBorder="1" applyAlignment="1">
      <alignment vertical="center"/>
    </xf>
    <xf numFmtId="3" fontId="17" fillId="0" borderId="11" xfId="0" applyNumberFormat="1" applyFont="1" applyFill="1" applyBorder="1" applyAlignment="1">
      <alignment vertical="center"/>
    </xf>
    <xf numFmtId="3" fontId="17" fillId="0" borderId="10" xfId="0" applyNumberFormat="1" applyFont="1" applyFill="1" applyBorder="1" applyAlignment="1">
      <alignment vertical="center"/>
    </xf>
    <xf numFmtId="3" fontId="17" fillId="0" borderId="12" xfId="0" applyNumberFormat="1" applyFont="1" applyFill="1" applyBorder="1" applyAlignment="1">
      <alignment vertical="center"/>
    </xf>
    <xf numFmtId="0" fontId="8" fillId="0" borderId="18" xfId="0" applyFont="1" applyFill="1" applyBorder="1" applyAlignment="1">
      <alignment horizontal="left" vertical="center" wrapText="1"/>
    </xf>
    <xf numFmtId="180" fontId="8" fillId="0" borderId="19" xfId="0" applyNumberFormat="1" applyFont="1" applyFill="1" applyBorder="1" applyAlignment="1">
      <alignment vertical="center"/>
    </xf>
    <xf numFmtId="180" fontId="8" fillId="0" borderId="18" xfId="0" applyNumberFormat="1" applyFont="1" applyFill="1" applyBorder="1" applyAlignment="1">
      <alignment vertical="center"/>
    </xf>
    <xf numFmtId="180" fontId="8" fillId="0" borderId="20" xfId="0" applyNumberFormat="1" applyFont="1" applyFill="1" applyBorder="1" applyAlignment="1">
      <alignment vertical="center"/>
    </xf>
    <xf numFmtId="0" fontId="18" fillId="0" borderId="10" xfId="0" applyFont="1" applyFill="1" applyBorder="1" applyAlignment="1">
      <alignment horizontal="left" vertical="center" wrapText="1"/>
    </xf>
    <xf numFmtId="180" fontId="18" fillId="0" borderId="11" xfId="0" applyNumberFormat="1" applyFont="1" applyFill="1" applyBorder="1" applyAlignment="1">
      <alignment vertical="center"/>
    </xf>
    <xf numFmtId="180" fontId="18" fillId="0" borderId="10" xfId="0" applyNumberFormat="1" applyFont="1" applyFill="1" applyBorder="1" applyAlignment="1">
      <alignment vertical="center"/>
    </xf>
    <xf numFmtId="180" fontId="18" fillId="0" borderId="12" xfId="0" applyNumberFormat="1" applyFont="1" applyFill="1" applyBorder="1" applyAlignment="1">
      <alignment vertical="center"/>
    </xf>
    <xf numFmtId="10" fontId="8" fillId="0" borderId="11" xfId="63" applyNumberFormat="1" applyFont="1" applyFill="1" applyBorder="1" applyAlignment="1">
      <alignment vertical="center"/>
    </xf>
    <xf numFmtId="10" fontId="8" fillId="0" borderId="10" xfId="63" applyNumberFormat="1" applyFont="1" applyFill="1" applyBorder="1" applyAlignment="1">
      <alignment vertical="center"/>
    </xf>
    <xf numFmtId="10" fontId="8" fillId="0" borderId="12" xfId="63" applyNumberFormat="1" applyFont="1" applyFill="1" applyBorder="1" applyAlignment="1">
      <alignment vertical="center"/>
    </xf>
    <xf numFmtId="10" fontId="8" fillId="0" borderId="11" xfId="63" applyNumberFormat="1" applyFont="1" applyFill="1" applyBorder="1" applyAlignment="1">
      <alignment horizontal="right" vertical="center"/>
    </xf>
    <xf numFmtId="10" fontId="8" fillId="0" borderId="10" xfId="63" applyNumberFormat="1" applyFont="1" applyFill="1" applyBorder="1" applyAlignment="1">
      <alignment horizontal="right" vertical="center"/>
    </xf>
    <xf numFmtId="10" fontId="8" fillId="0" borderId="12" xfId="63" applyNumberFormat="1" applyFont="1" applyFill="1" applyBorder="1" applyAlignment="1">
      <alignment horizontal="right" vertical="center"/>
    </xf>
    <xf numFmtId="0" fontId="19" fillId="0" borderId="0" xfId="0" applyFont="1" applyFill="1" applyBorder="1" applyAlignment="1">
      <alignment vertical="center"/>
    </xf>
    <xf numFmtId="180" fontId="8" fillId="34" borderId="11" xfId="0" applyNumberFormat="1" applyFont="1" applyFill="1" applyBorder="1" applyAlignment="1">
      <alignment vertical="center"/>
    </xf>
    <xf numFmtId="180" fontId="8" fillId="34" borderId="10" xfId="0" applyNumberFormat="1" applyFont="1" applyFill="1" applyBorder="1" applyAlignment="1">
      <alignment vertical="center"/>
    </xf>
    <xf numFmtId="180" fontId="8" fillId="34" borderId="12" xfId="0" applyNumberFormat="1" applyFont="1" applyFill="1" applyBorder="1" applyAlignment="1">
      <alignment vertical="center"/>
    </xf>
    <xf numFmtId="0" fontId="8" fillId="34" borderId="10" xfId="0" applyFont="1" applyFill="1" applyBorder="1" applyAlignment="1">
      <alignment horizontal="left" vertical="center" wrapText="1"/>
    </xf>
    <xf numFmtId="181" fontId="8" fillId="0" borderId="11" xfId="63" applyNumberFormat="1" applyFont="1" applyFill="1" applyBorder="1" applyAlignment="1">
      <alignment vertical="center"/>
    </xf>
    <xf numFmtId="181" fontId="8" fillId="0" borderId="10" xfId="63" applyNumberFormat="1" applyFont="1" applyFill="1" applyBorder="1" applyAlignment="1">
      <alignment vertical="center"/>
    </xf>
    <xf numFmtId="181" fontId="8" fillId="0" borderId="12" xfId="63" applyNumberFormat="1" applyFont="1" applyFill="1" applyBorder="1" applyAlignment="1">
      <alignment vertic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34" borderId="11" xfId="0" applyNumberFormat="1" applyFont="1" applyFill="1" applyBorder="1" applyAlignment="1">
      <alignment vertical="center"/>
    </xf>
    <xf numFmtId="4" fontId="8" fillId="34" borderId="10" xfId="0" applyNumberFormat="1" applyFont="1" applyFill="1" applyBorder="1" applyAlignment="1">
      <alignment vertical="center"/>
    </xf>
    <xf numFmtId="4" fontId="8" fillId="34" borderId="12" xfId="0" applyNumberFormat="1" applyFont="1" applyFill="1" applyBorder="1" applyAlignment="1">
      <alignment vertical="center"/>
    </xf>
    <xf numFmtId="4" fontId="8" fillId="0" borderId="11" xfId="0" applyNumberFormat="1" applyFont="1" applyFill="1" applyBorder="1" applyAlignment="1">
      <alignment vertical="center"/>
    </xf>
    <xf numFmtId="4" fontId="8" fillId="0" borderId="10" xfId="0" applyNumberFormat="1" applyFont="1" applyFill="1" applyBorder="1" applyAlignment="1">
      <alignment vertical="center"/>
    </xf>
    <xf numFmtId="4" fontId="8" fillId="0" borderId="12" xfId="0" applyNumberFormat="1" applyFont="1" applyFill="1" applyBorder="1" applyAlignment="1">
      <alignment vertical="center"/>
    </xf>
    <xf numFmtId="3" fontId="8" fillId="0" borderId="13" xfId="0" applyNumberFormat="1" applyFont="1" applyFill="1" applyBorder="1" applyAlignment="1">
      <alignment vertical="center"/>
    </xf>
    <xf numFmtId="0" fontId="12" fillId="0" borderId="0" xfId="59" applyFont="1" applyBorder="1" applyAlignment="1">
      <alignment vertical="center"/>
      <protection/>
    </xf>
    <xf numFmtId="3" fontId="8" fillId="0" borderId="0" xfId="0" applyNumberFormat="1" applyFont="1" applyFill="1" applyBorder="1" applyAlignment="1">
      <alignment vertical="center"/>
    </xf>
    <xf numFmtId="0" fontId="13" fillId="0" borderId="0" xfId="59" applyFont="1" applyBorder="1" applyAlignment="1">
      <alignment vertical="center"/>
      <protection/>
    </xf>
    <xf numFmtId="180" fontId="8" fillId="0" borderId="0" xfId="0" applyNumberFormat="1" applyFont="1" applyFill="1" applyBorder="1" applyAlignment="1">
      <alignment vertical="center"/>
    </xf>
    <xf numFmtId="180" fontId="4" fillId="0" borderId="0" xfId="0" applyNumberFormat="1" applyFont="1" applyFill="1" applyBorder="1" applyAlignment="1">
      <alignment vertical="center"/>
    </xf>
    <xf numFmtId="0" fontId="8" fillId="0" borderId="10" xfId="0" applyFont="1" applyFill="1" applyBorder="1" applyAlignment="1">
      <alignment vertical="center" wrapText="1"/>
    </xf>
    <xf numFmtId="0" fontId="17" fillId="0" borderId="10" xfId="0" applyFont="1" applyFill="1" applyBorder="1" applyAlignment="1">
      <alignment vertical="center" wrapText="1"/>
    </xf>
    <xf numFmtId="3" fontId="8" fillId="0" borderId="10" xfId="0" applyNumberFormat="1" applyFont="1" applyFill="1" applyBorder="1" applyAlignment="1">
      <alignment vertical="center" wrapText="1"/>
    </xf>
    <xf numFmtId="0" fontId="8" fillId="0" borderId="0" xfId="0" applyFont="1" applyFill="1" applyBorder="1" applyAlignment="1">
      <alignment vertical="center" wrapText="1"/>
    </xf>
    <xf numFmtId="0" fontId="17" fillId="0" borderId="13" xfId="0" applyFont="1" applyFill="1" applyBorder="1" applyAlignment="1">
      <alignment vertical="center" wrapText="1"/>
    </xf>
    <xf numFmtId="0" fontId="87" fillId="35" borderId="13" xfId="0" applyFont="1" applyFill="1" applyBorder="1" applyAlignment="1">
      <alignment vertical="center" wrapText="1"/>
    </xf>
    <xf numFmtId="180" fontId="87" fillId="35" borderId="11" xfId="0" applyNumberFormat="1" applyFont="1" applyFill="1" applyBorder="1" applyAlignment="1">
      <alignment vertical="center"/>
    </xf>
    <xf numFmtId="180" fontId="87" fillId="35" borderId="10" xfId="0" applyNumberFormat="1" applyFont="1" applyFill="1" applyBorder="1" applyAlignment="1">
      <alignment vertical="center"/>
    </xf>
    <xf numFmtId="180" fontId="87" fillId="35" borderId="12" xfId="0" applyNumberFormat="1" applyFont="1" applyFill="1" applyBorder="1" applyAlignment="1">
      <alignment vertical="center"/>
    </xf>
    <xf numFmtId="180" fontId="2" fillId="0" borderId="0" xfId="0" applyNumberFormat="1" applyFont="1" applyBorder="1" applyAlignment="1">
      <alignment vertical="center"/>
    </xf>
    <xf numFmtId="3" fontId="17" fillId="0" borderId="10" xfId="0" applyNumberFormat="1" applyFont="1" applyFill="1" applyBorder="1" applyAlignment="1">
      <alignment vertical="center" wrapText="1"/>
    </xf>
    <xf numFmtId="0" fontId="87" fillId="35" borderId="10" xfId="0" applyFont="1" applyFill="1" applyBorder="1" applyAlignment="1">
      <alignment vertical="center" wrapText="1"/>
    </xf>
    <xf numFmtId="0" fontId="7" fillId="0" borderId="0" xfId="0" applyFont="1" applyAlignment="1">
      <alignment horizontal="right" vertical="center" wrapText="1"/>
    </xf>
    <xf numFmtId="0" fontId="17" fillId="0" borderId="10" xfId="0" applyFont="1" applyFill="1" applyBorder="1" applyAlignment="1">
      <alignment vertical="center"/>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8" fillId="0" borderId="10" xfId="0" applyFont="1" applyBorder="1" applyAlignment="1">
      <alignment vertical="center"/>
    </xf>
    <xf numFmtId="0" fontId="87" fillId="35" borderId="10" xfId="0" applyFont="1" applyFill="1" applyBorder="1" applyAlignment="1">
      <alignment vertical="center"/>
    </xf>
    <xf numFmtId="3" fontId="18" fillId="0" borderId="10" xfId="0" applyNumberFormat="1" applyFont="1" applyFill="1" applyBorder="1" applyAlignment="1">
      <alignment vertical="center" wrapText="1"/>
    </xf>
    <xf numFmtId="0" fontId="18" fillId="0" borderId="10" xfId="0" applyFont="1" applyFill="1" applyBorder="1" applyAlignment="1">
      <alignment vertical="center" wrapText="1"/>
    </xf>
    <xf numFmtId="0" fontId="17" fillId="0" borderId="10" xfId="0" applyFont="1" applyBorder="1" applyAlignment="1">
      <alignment vertical="center"/>
    </xf>
    <xf numFmtId="0" fontId="7" fillId="0" borderId="0" xfId="0" applyFont="1" applyBorder="1" applyAlignment="1">
      <alignment vertical="center" wrapText="1"/>
    </xf>
    <xf numFmtId="0" fontId="17" fillId="0" borderId="0" xfId="0" applyFont="1" applyAlignment="1">
      <alignment vertical="center" wrapText="1"/>
    </xf>
    <xf numFmtId="3" fontId="18" fillId="0" borderId="10" xfId="0" applyNumberFormat="1" applyFont="1" applyFill="1" applyBorder="1" applyAlignment="1">
      <alignment vertical="center"/>
    </xf>
    <xf numFmtId="3" fontId="18" fillId="0" borderId="12" xfId="0" applyNumberFormat="1" applyFont="1" applyFill="1" applyBorder="1" applyAlignment="1">
      <alignment vertical="center"/>
    </xf>
    <xf numFmtId="0" fontId="17" fillId="0" borderId="10" xfId="0" applyFont="1" applyBorder="1" applyAlignment="1">
      <alignment vertical="center" wrapText="1"/>
    </xf>
    <xf numFmtId="0" fontId="8" fillId="0" borderId="10" xfId="0" applyFont="1" applyBorder="1" applyAlignment="1">
      <alignment vertical="center" wrapText="1"/>
    </xf>
    <xf numFmtId="180" fontId="3" fillId="0" borderId="0" xfId="0" applyNumberFormat="1" applyFont="1" applyBorder="1" applyAlignment="1">
      <alignment vertical="center"/>
    </xf>
    <xf numFmtId="0" fontId="18" fillId="0" borderId="10" xfId="0" applyFont="1" applyBorder="1" applyAlignment="1">
      <alignment vertical="center"/>
    </xf>
    <xf numFmtId="0" fontId="8" fillId="0" borderId="0" xfId="0" applyFont="1" applyAlignment="1">
      <alignment vertical="center" wrapText="1"/>
    </xf>
    <xf numFmtId="0" fontId="4" fillId="0" borderId="0" xfId="0" applyFont="1" applyBorder="1" applyAlignment="1">
      <alignment vertical="center"/>
    </xf>
    <xf numFmtId="0" fontId="18" fillId="0" borderId="10" xfId="0" applyFont="1" applyFill="1" applyBorder="1" applyAlignment="1">
      <alignment horizontal="left" vertical="center"/>
    </xf>
    <xf numFmtId="0" fontId="18" fillId="36" borderId="0" xfId="0" applyFont="1" applyFill="1" applyBorder="1" applyAlignment="1">
      <alignment horizontal="right" vertical="center" wrapText="1"/>
    </xf>
    <xf numFmtId="180" fontId="8" fillId="0" borderId="11"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80" fontId="88" fillId="0" borderId="11" xfId="0" applyNumberFormat="1" applyFont="1" applyFill="1" applyBorder="1" applyAlignment="1">
      <alignment vertical="center"/>
    </xf>
    <xf numFmtId="180" fontId="88" fillId="0" borderId="10" xfId="0" applyNumberFormat="1" applyFont="1" applyFill="1" applyBorder="1" applyAlignment="1">
      <alignment vertical="center"/>
    </xf>
    <xf numFmtId="180" fontId="89" fillId="0" borderId="11" xfId="0" applyNumberFormat="1" applyFont="1" applyFill="1" applyBorder="1" applyAlignment="1">
      <alignment vertical="center"/>
    </xf>
    <xf numFmtId="180" fontId="89" fillId="0" borderId="10" xfId="0" applyNumberFormat="1" applyFont="1" applyFill="1" applyBorder="1" applyAlignment="1">
      <alignment vertical="center"/>
    </xf>
    <xf numFmtId="182" fontId="89" fillId="0" borderId="11" xfId="63" applyNumberFormat="1" applyFont="1" applyFill="1" applyBorder="1" applyAlignment="1">
      <alignment vertical="center"/>
    </xf>
    <xf numFmtId="182" fontId="89" fillId="0" borderId="10" xfId="63" applyNumberFormat="1" applyFont="1" applyFill="1" applyBorder="1" applyAlignment="1">
      <alignment vertical="center"/>
    </xf>
    <xf numFmtId="182" fontId="8" fillId="0" borderId="10" xfId="63" applyNumberFormat="1" applyFont="1" applyFill="1" applyBorder="1" applyAlignment="1">
      <alignment vertical="center"/>
    </xf>
    <xf numFmtId="182" fontId="8" fillId="0" borderId="12" xfId="63" applyNumberFormat="1" applyFont="1" applyFill="1" applyBorder="1" applyAlignment="1">
      <alignment vertical="center"/>
    </xf>
    <xf numFmtId="182" fontId="8" fillId="0" borderId="11" xfId="63" applyNumberFormat="1" applyFont="1" applyFill="1" applyBorder="1" applyAlignment="1">
      <alignment vertical="center"/>
    </xf>
    <xf numFmtId="3" fontId="89" fillId="0" borderId="11" xfId="0" applyNumberFormat="1" applyFont="1" applyFill="1" applyBorder="1" applyAlignment="1">
      <alignment vertical="center"/>
    </xf>
    <xf numFmtId="3" fontId="89" fillId="0" borderId="10" xfId="0" applyNumberFormat="1" applyFont="1" applyFill="1" applyBorder="1" applyAlignment="1">
      <alignment vertical="center"/>
    </xf>
    <xf numFmtId="180" fontId="88" fillId="35" borderId="11" xfId="0" applyNumberFormat="1" applyFont="1" applyFill="1" applyBorder="1" applyAlignment="1">
      <alignment vertical="center"/>
    </xf>
    <xf numFmtId="180" fontId="88" fillId="35" borderId="10" xfId="0" applyNumberFormat="1" applyFont="1" applyFill="1" applyBorder="1" applyAlignment="1">
      <alignment vertical="center"/>
    </xf>
    <xf numFmtId="0" fontId="17" fillId="0" borderId="0" xfId="0" applyFont="1" applyBorder="1" applyAlignment="1">
      <alignment vertical="center"/>
    </xf>
    <xf numFmtId="182" fontId="88" fillId="0" borderId="11" xfId="63" applyNumberFormat="1" applyFont="1" applyFill="1" applyBorder="1" applyAlignment="1">
      <alignment vertical="center"/>
    </xf>
    <xf numFmtId="182" fontId="88" fillId="0" borderId="10" xfId="63" applyNumberFormat="1" applyFont="1" applyFill="1" applyBorder="1" applyAlignment="1">
      <alignment vertical="center"/>
    </xf>
    <xf numFmtId="182" fontId="17" fillId="0" borderId="10" xfId="63" applyNumberFormat="1" applyFont="1" applyFill="1" applyBorder="1" applyAlignment="1">
      <alignment vertical="center"/>
    </xf>
    <xf numFmtId="182" fontId="17" fillId="0" borderId="12" xfId="63" applyNumberFormat="1" applyFont="1" applyFill="1" applyBorder="1" applyAlignment="1">
      <alignment vertical="center"/>
    </xf>
    <xf numFmtId="182" fontId="17" fillId="0" borderId="11" xfId="63" applyNumberFormat="1" applyFont="1" applyFill="1" applyBorder="1" applyAlignment="1">
      <alignment vertical="center"/>
    </xf>
    <xf numFmtId="0" fontId="18" fillId="0" borderId="10" xfId="0" applyFont="1" applyFill="1" applyBorder="1" applyAlignment="1">
      <alignment vertical="center"/>
    </xf>
    <xf numFmtId="0" fontId="18" fillId="0" borderId="0" xfId="0" applyFont="1" applyAlignment="1">
      <alignment vertical="center" wrapText="1"/>
    </xf>
    <xf numFmtId="3" fontId="3" fillId="34" borderId="11" xfId="0" applyNumberFormat="1" applyFont="1" applyFill="1" applyBorder="1" applyAlignment="1">
      <alignment vertical="center"/>
    </xf>
    <xf numFmtId="3" fontId="3" fillId="34" borderId="10" xfId="0" applyNumberFormat="1" applyFont="1" applyFill="1" applyBorder="1" applyAlignment="1">
      <alignment vertical="center"/>
    </xf>
    <xf numFmtId="0" fontId="21" fillId="0" borderId="0" xfId="0" applyFont="1" applyAlignment="1">
      <alignment vertical="center"/>
    </xf>
    <xf numFmtId="0" fontId="22" fillId="0" borderId="0" xfId="0" applyFont="1" applyAlignment="1">
      <alignment/>
    </xf>
    <xf numFmtId="0" fontId="90" fillId="35" borderId="10" xfId="0" applyFont="1" applyFill="1" applyBorder="1" applyAlignment="1">
      <alignment vertical="center" wrapText="1"/>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91" fillId="0" borderId="10" xfId="0" applyFont="1" applyFill="1" applyBorder="1" applyAlignment="1">
      <alignment vertical="center"/>
    </xf>
    <xf numFmtId="180" fontId="92" fillId="0" borderId="11" xfId="0" applyNumberFormat="1" applyFont="1" applyFill="1" applyBorder="1" applyAlignment="1">
      <alignment vertical="center"/>
    </xf>
    <xf numFmtId="180" fontId="92" fillId="0" borderId="10" xfId="0" applyNumberFormat="1" applyFont="1" applyFill="1" applyBorder="1" applyAlignment="1">
      <alignment vertical="center"/>
    </xf>
    <xf numFmtId="180" fontId="92" fillId="0" borderId="12" xfId="0" applyNumberFormat="1" applyFont="1" applyFill="1" applyBorder="1" applyAlignment="1">
      <alignment vertical="center"/>
    </xf>
    <xf numFmtId="0" fontId="93" fillId="0" borderId="10" xfId="0" applyFont="1" applyFill="1" applyBorder="1" applyAlignment="1">
      <alignment vertical="center"/>
    </xf>
    <xf numFmtId="180" fontId="93" fillId="0" borderId="11" xfId="0" applyNumberFormat="1" applyFont="1" applyFill="1" applyBorder="1" applyAlignment="1">
      <alignment vertical="center"/>
    </xf>
    <xf numFmtId="180" fontId="93" fillId="0" borderId="10" xfId="0" applyNumberFormat="1" applyFont="1" applyFill="1" applyBorder="1" applyAlignment="1">
      <alignment vertical="center"/>
    </xf>
    <xf numFmtId="180" fontId="93" fillId="0" borderId="12" xfId="0" applyNumberFormat="1" applyFont="1" applyFill="1" applyBorder="1" applyAlignment="1">
      <alignment vertical="center"/>
    </xf>
    <xf numFmtId="0" fontId="94" fillId="0" borderId="0" xfId="0" applyFont="1" applyAlignment="1">
      <alignment/>
    </xf>
    <xf numFmtId="0" fontId="94" fillId="0" borderId="0" xfId="0" applyFont="1" applyFill="1" applyAlignment="1">
      <alignment/>
    </xf>
    <xf numFmtId="0" fontId="93" fillId="0" borderId="10" xfId="0" applyFont="1" applyFill="1" applyBorder="1" applyAlignment="1">
      <alignment vertical="center" wrapText="1"/>
    </xf>
    <xf numFmtId="180" fontId="93" fillId="0" borderId="11" xfId="0" applyNumberFormat="1" applyFont="1" applyFill="1" applyBorder="1" applyAlignment="1">
      <alignment horizontal="right" vertical="center"/>
    </xf>
    <xf numFmtId="180" fontId="93" fillId="0" borderId="10" xfId="0" applyNumberFormat="1" applyFont="1" applyFill="1" applyBorder="1" applyAlignment="1">
      <alignment horizontal="right" vertical="center"/>
    </xf>
    <xf numFmtId="180" fontId="93" fillId="0" borderId="12" xfId="0" applyNumberFormat="1" applyFont="1" applyFill="1" applyBorder="1" applyAlignment="1">
      <alignment horizontal="right" vertical="center"/>
    </xf>
    <xf numFmtId="0" fontId="95" fillId="0" borderId="10" xfId="0" applyFont="1" applyFill="1" applyBorder="1" applyAlignment="1">
      <alignment vertical="center"/>
    </xf>
    <xf numFmtId="180" fontId="96" fillId="0" borderId="11" xfId="0" applyNumberFormat="1" applyFont="1" applyFill="1" applyBorder="1" applyAlignment="1">
      <alignment vertical="center"/>
    </xf>
    <xf numFmtId="180" fontId="96" fillId="0" borderId="10" xfId="0" applyNumberFormat="1" applyFont="1" applyFill="1" applyBorder="1" applyAlignment="1">
      <alignment vertical="center"/>
    </xf>
    <xf numFmtId="180" fontId="96" fillId="0" borderId="12" xfId="0" applyNumberFormat="1" applyFont="1" applyFill="1" applyBorder="1" applyAlignment="1">
      <alignment vertical="center"/>
    </xf>
    <xf numFmtId="0" fontId="91" fillId="0" borderId="10" xfId="0" applyFont="1" applyFill="1" applyBorder="1" applyAlignment="1">
      <alignment/>
    </xf>
    <xf numFmtId="0" fontId="91" fillId="0" borderId="10" xfId="0" applyFont="1" applyFill="1" applyBorder="1" applyAlignment="1">
      <alignment/>
    </xf>
    <xf numFmtId="0" fontId="97" fillId="0" borderId="10" xfId="0" applyFont="1" applyFill="1" applyBorder="1" applyAlignment="1">
      <alignment vertical="center"/>
    </xf>
    <xf numFmtId="180" fontId="97" fillId="0" borderId="11" xfId="0" applyNumberFormat="1" applyFont="1" applyFill="1" applyBorder="1" applyAlignment="1">
      <alignment horizontal="right" vertical="center"/>
    </xf>
    <xf numFmtId="180" fontId="97" fillId="0" borderId="10" xfId="0" applyNumberFormat="1" applyFont="1" applyFill="1" applyBorder="1" applyAlignment="1">
      <alignment horizontal="right" vertical="center"/>
    </xf>
    <xf numFmtId="180" fontId="97" fillId="0" borderId="12" xfId="0" applyNumberFormat="1" applyFont="1" applyFill="1" applyBorder="1" applyAlignment="1">
      <alignment horizontal="right" vertical="center"/>
    </xf>
    <xf numFmtId="180" fontId="97" fillId="0" borderId="11" xfId="0" applyNumberFormat="1" applyFont="1" applyFill="1" applyBorder="1" applyAlignment="1">
      <alignment vertical="center"/>
    </xf>
    <xf numFmtId="180" fontId="97" fillId="0" borderId="10" xfId="0" applyNumberFormat="1" applyFont="1" applyFill="1" applyBorder="1" applyAlignment="1">
      <alignment vertical="center"/>
    </xf>
    <xf numFmtId="180" fontId="97" fillId="0" borderId="12" xfId="0" applyNumberFormat="1" applyFont="1" applyFill="1" applyBorder="1" applyAlignment="1">
      <alignment vertical="center"/>
    </xf>
    <xf numFmtId="180" fontId="97" fillId="0" borderId="11" xfId="0" applyNumberFormat="1" applyFont="1" applyBorder="1" applyAlignment="1">
      <alignment vertical="center"/>
    </xf>
    <xf numFmtId="180" fontId="97" fillId="0" borderId="10" xfId="0" applyNumberFormat="1" applyFont="1" applyBorder="1" applyAlignment="1">
      <alignment vertical="center"/>
    </xf>
    <xf numFmtId="180" fontId="97" fillId="0" borderId="12" xfId="0" applyNumberFormat="1" applyFont="1" applyBorder="1" applyAlignment="1">
      <alignment vertical="center"/>
    </xf>
    <xf numFmtId="0" fontId="97" fillId="0" borderId="10" xfId="0" applyFont="1" applyBorder="1" applyAlignment="1">
      <alignment vertical="top" wrapText="1"/>
    </xf>
    <xf numFmtId="180" fontId="97" fillId="0" borderId="11" xfId="0" applyNumberFormat="1" applyFont="1" applyBorder="1" applyAlignment="1">
      <alignment horizontal="right" vertical="center"/>
    </xf>
    <xf numFmtId="180" fontId="97" fillId="0" borderId="10" xfId="0" applyNumberFormat="1" applyFont="1" applyBorder="1" applyAlignment="1">
      <alignment horizontal="right" vertical="center"/>
    </xf>
    <xf numFmtId="180" fontId="97" fillId="0" borderId="12" xfId="0" applyNumberFormat="1" applyFont="1" applyBorder="1" applyAlignment="1">
      <alignment horizontal="right" vertical="center"/>
    </xf>
    <xf numFmtId="0" fontId="98" fillId="0" borderId="10" xfId="0" applyFont="1" applyBorder="1" applyAlignment="1">
      <alignment vertical="center"/>
    </xf>
    <xf numFmtId="0" fontId="90" fillId="35" borderId="10" xfId="0" applyFont="1" applyFill="1" applyBorder="1" applyAlignment="1">
      <alignment vertical="center"/>
    </xf>
    <xf numFmtId="10" fontId="90" fillId="35" borderId="11" xfId="0" applyNumberFormat="1" applyFont="1" applyFill="1" applyBorder="1" applyAlignment="1">
      <alignment horizontal="right" vertical="center" wrapText="1"/>
    </xf>
    <xf numFmtId="10" fontId="90" fillId="35" borderId="10" xfId="0" applyNumberFormat="1" applyFont="1" applyFill="1" applyBorder="1" applyAlignment="1">
      <alignment horizontal="right" vertical="center" wrapText="1"/>
    </xf>
    <xf numFmtId="10" fontId="90" fillId="35" borderId="12" xfId="0" applyNumberFormat="1" applyFont="1" applyFill="1" applyBorder="1" applyAlignment="1">
      <alignment horizontal="right" vertical="center" wrapText="1"/>
    </xf>
    <xf numFmtId="0" fontId="99" fillId="35" borderId="10" xfId="0" applyFont="1" applyFill="1" applyBorder="1" applyAlignment="1">
      <alignment vertical="center" wrapText="1"/>
    </xf>
    <xf numFmtId="10" fontId="99" fillId="35" borderId="11" xfId="63" applyNumberFormat="1" applyFont="1" applyFill="1" applyBorder="1" applyAlignment="1">
      <alignment vertical="center"/>
    </xf>
    <xf numFmtId="10" fontId="99" fillId="35" borderId="21" xfId="63" applyNumberFormat="1" applyFont="1" applyFill="1" applyBorder="1" applyAlignment="1">
      <alignment vertical="center"/>
    </xf>
    <xf numFmtId="10" fontId="99" fillId="35" borderId="10" xfId="63" applyNumberFormat="1" applyFont="1" applyFill="1" applyBorder="1" applyAlignment="1">
      <alignment vertical="center"/>
    </xf>
    <xf numFmtId="0" fontId="23" fillId="0" borderId="0" xfId="0" applyFont="1" applyAlignment="1">
      <alignment/>
    </xf>
    <xf numFmtId="180" fontId="0" fillId="0" borderId="0" xfId="0" applyNumberFormat="1" applyAlignment="1">
      <alignment/>
    </xf>
    <xf numFmtId="3" fontId="16" fillId="33" borderId="14" xfId="55" applyNumberFormat="1" applyFont="1" applyFill="1" applyBorder="1" applyAlignment="1">
      <alignment horizontal="right" vertical="center" wrapText="1"/>
      <protection/>
    </xf>
    <xf numFmtId="3" fontId="16" fillId="33" borderId="0" xfId="55" applyNumberFormat="1" applyFont="1" applyFill="1" applyBorder="1" applyAlignment="1">
      <alignment horizontal="right" vertical="center" wrapText="1"/>
      <protection/>
    </xf>
    <xf numFmtId="3" fontId="16" fillId="33" borderId="15" xfId="55" applyNumberFormat="1" applyFont="1" applyFill="1" applyBorder="1" applyAlignment="1">
      <alignment horizontal="right" vertical="center" wrapText="1"/>
      <protection/>
    </xf>
    <xf numFmtId="0" fontId="91" fillId="0" borderId="10" xfId="55" applyFont="1" applyFill="1" applyBorder="1">
      <alignment/>
      <protection/>
    </xf>
    <xf numFmtId="0" fontId="6" fillId="0" borderId="10" xfId="0" applyFont="1" applyFill="1" applyBorder="1" applyAlignment="1">
      <alignment vertical="center"/>
    </xf>
    <xf numFmtId="180" fontId="3" fillId="0" borderId="11"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2" xfId="0" applyNumberFormat="1" applyFont="1" applyFill="1" applyBorder="1" applyAlignment="1">
      <alignment vertical="center"/>
    </xf>
    <xf numFmtId="180" fontId="90" fillId="35" borderId="11" xfId="0" applyNumberFormat="1" applyFont="1" applyFill="1" applyBorder="1" applyAlignment="1">
      <alignment vertical="center"/>
    </xf>
    <xf numFmtId="180" fontId="90" fillId="35" borderId="10" xfId="0" applyNumberFormat="1" applyFont="1" applyFill="1" applyBorder="1" applyAlignment="1">
      <alignment vertical="center"/>
    </xf>
    <xf numFmtId="180" fontId="90" fillId="35" borderId="12" xfId="0" applyNumberFormat="1" applyFont="1" applyFill="1" applyBorder="1" applyAlignment="1">
      <alignment vertical="center"/>
    </xf>
    <xf numFmtId="0" fontId="6" fillId="0" borderId="0" xfId="0" applyFont="1" applyBorder="1" applyAlignment="1">
      <alignment vertical="center"/>
    </xf>
    <xf numFmtId="180" fontId="6" fillId="0" borderId="11" xfId="0" applyNumberFormat="1" applyFont="1" applyFill="1" applyBorder="1" applyAlignment="1">
      <alignment vertical="center"/>
    </xf>
    <xf numFmtId="180" fontId="6" fillId="0" borderId="10" xfId="0" applyNumberFormat="1" applyFont="1" applyFill="1" applyBorder="1" applyAlignment="1">
      <alignment vertical="center"/>
    </xf>
    <xf numFmtId="180" fontId="6" fillId="0" borderId="12" xfId="0" applyNumberFormat="1" applyFont="1" applyFill="1" applyBorder="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93" fillId="0" borderId="13" xfId="0" applyFont="1" applyBorder="1" applyAlignment="1">
      <alignment vertical="center"/>
    </xf>
    <xf numFmtId="0" fontId="97" fillId="0" borderId="18" xfId="0" applyFont="1" applyFill="1" applyBorder="1" applyAlignment="1">
      <alignment vertical="center"/>
    </xf>
    <xf numFmtId="180" fontId="97" fillId="0" borderId="19" xfId="0" applyNumberFormat="1" applyFont="1" applyFill="1" applyBorder="1" applyAlignment="1">
      <alignment horizontal="right" vertical="center"/>
    </xf>
    <xf numFmtId="180" fontId="97" fillId="0" borderId="18" xfId="0" applyNumberFormat="1" applyFont="1" applyFill="1" applyBorder="1" applyAlignment="1">
      <alignment horizontal="right" vertical="center"/>
    </xf>
    <xf numFmtId="180" fontId="97" fillId="0" borderId="20" xfId="0" applyNumberFormat="1" applyFont="1" applyFill="1" applyBorder="1" applyAlignment="1">
      <alignment horizontal="right" vertical="center"/>
    </xf>
    <xf numFmtId="0" fontId="6" fillId="34" borderId="22" xfId="0" applyFont="1" applyFill="1" applyBorder="1" applyAlignment="1">
      <alignment vertical="center" wrapText="1"/>
    </xf>
    <xf numFmtId="180" fontId="17" fillId="34" borderId="23" xfId="0" applyNumberFormat="1" applyFont="1" applyFill="1" applyBorder="1" applyAlignment="1">
      <alignment horizontal="right" vertical="center"/>
    </xf>
    <xf numFmtId="180" fontId="17" fillId="34" borderId="22" xfId="0" applyNumberFormat="1" applyFont="1" applyFill="1" applyBorder="1" applyAlignment="1">
      <alignment horizontal="right" vertical="center"/>
    </xf>
    <xf numFmtId="180" fontId="17" fillId="34" borderId="24" xfId="0" applyNumberFormat="1" applyFont="1" applyFill="1" applyBorder="1" applyAlignment="1">
      <alignment horizontal="right" vertical="center"/>
    </xf>
    <xf numFmtId="0" fontId="100" fillId="0" borderId="10" xfId="0" applyFont="1" applyBorder="1" applyAlignment="1">
      <alignment vertical="center"/>
    </xf>
    <xf numFmtId="0" fontId="101" fillId="0" borderId="11" xfId="0" applyFont="1" applyBorder="1" applyAlignment="1">
      <alignment/>
    </xf>
    <xf numFmtId="0" fontId="101" fillId="0" borderId="10" xfId="0" applyFont="1" applyBorder="1" applyAlignment="1">
      <alignment/>
    </xf>
    <xf numFmtId="0" fontId="101" fillId="0" borderId="12" xfId="0" applyFont="1" applyBorder="1" applyAlignment="1">
      <alignment/>
    </xf>
    <xf numFmtId="0" fontId="101" fillId="0" borderId="0" xfId="0" applyFont="1" applyAlignment="1">
      <alignment/>
    </xf>
    <xf numFmtId="180" fontId="102" fillId="0" borderId="11" xfId="0" applyNumberFormat="1" applyFont="1" applyBorder="1" applyAlignment="1">
      <alignment vertical="center"/>
    </xf>
    <xf numFmtId="180" fontId="102" fillId="0" borderId="10" xfId="0" applyNumberFormat="1" applyFont="1" applyBorder="1" applyAlignment="1">
      <alignment vertical="center"/>
    </xf>
    <xf numFmtId="180" fontId="102" fillId="0" borderId="12" xfId="0" applyNumberFormat="1" applyFont="1" applyBorder="1" applyAlignment="1">
      <alignment vertical="center"/>
    </xf>
    <xf numFmtId="180" fontId="92" fillId="0" borderId="11" xfId="0" applyNumberFormat="1" applyFont="1" applyBorder="1" applyAlignment="1">
      <alignment horizontal="right" vertical="center" wrapText="1"/>
    </xf>
    <xf numFmtId="180" fontId="92" fillId="0" borderId="12" xfId="0" applyNumberFormat="1" applyFont="1" applyBorder="1" applyAlignment="1">
      <alignment horizontal="right" vertical="center" wrapText="1"/>
    </xf>
    <xf numFmtId="180" fontId="95" fillId="0" borderId="10" xfId="0" applyNumberFormat="1" applyFont="1" applyBorder="1" applyAlignment="1">
      <alignment vertical="center"/>
    </xf>
    <xf numFmtId="180" fontId="92" fillId="0" borderId="10" xfId="0" applyNumberFormat="1" applyFont="1" applyBorder="1" applyAlignment="1">
      <alignment horizontal="right" vertical="center" wrapText="1"/>
    </xf>
    <xf numFmtId="182" fontId="17" fillId="0" borderId="0" xfId="63" applyNumberFormat="1" applyFont="1" applyFill="1" applyBorder="1" applyAlignment="1">
      <alignment vertical="center"/>
    </xf>
    <xf numFmtId="0" fontId="21" fillId="0" borderId="0" xfId="0" applyFont="1" applyAlignment="1">
      <alignment/>
    </xf>
    <xf numFmtId="0" fontId="103" fillId="35" borderId="10" xfId="55" applyFont="1" applyFill="1" applyBorder="1" applyAlignment="1">
      <alignment vertical="center"/>
      <protection/>
    </xf>
    <xf numFmtId="0" fontId="103" fillId="35" borderId="10" xfId="0" applyFont="1" applyFill="1" applyBorder="1" applyAlignment="1">
      <alignment vertical="center"/>
    </xf>
    <xf numFmtId="10" fontId="103" fillId="35" borderId="11" xfId="0" applyNumberFormat="1" applyFont="1" applyFill="1" applyBorder="1" applyAlignment="1">
      <alignment horizontal="right" vertical="center" wrapText="1"/>
    </xf>
    <xf numFmtId="10" fontId="103" fillId="35" borderId="10" xfId="0" applyNumberFormat="1" applyFont="1" applyFill="1" applyBorder="1" applyAlignment="1">
      <alignment horizontal="right" vertical="center" wrapText="1"/>
    </xf>
    <xf numFmtId="10" fontId="103" fillId="35" borderId="12" xfId="0" applyNumberFormat="1" applyFont="1" applyFill="1" applyBorder="1" applyAlignment="1">
      <alignment horizontal="right" vertical="center" wrapText="1"/>
    </xf>
    <xf numFmtId="0" fontId="103" fillId="35" borderId="10" xfId="0" applyFont="1" applyFill="1" applyBorder="1" applyAlignment="1">
      <alignment vertical="center" wrapText="1"/>
    </xf>
    <xf numFmtId="10" fontId="104" fillId="35" borderId="11" xfId="0" applyNumberFormat="1" applyFont="1" applyFill="1" applyBorder="1" applyAlignment="1">
      <alignment horizontal="right" vertical="center" wrapText="1"/>
    </xf>
    <xf numFmtId="10" fontId="104" fillId="35" borderId="10" xfId="0" applyNumberFormat="1" applyFont="1" applyFill="1" applyBorder="1" applyAlignment="1">
      <alignment horizontal="right" vertical="center" wrapText="1"/>
    </xf>
    <xf numFmtId="10" fontId="104" fillId="35" borderId="12" xfId="0" applyNumberFormat="1" applyFont="1" applyFill="1" applyBorder="1" applyAlignment="1">
      <alignment horizontal="right" vertical="center" wrapText="1"/>
    </xf>
    <xf numFmtId="10" fontId="103" fillId="35" borderId="11" xfId="63" applyNumberFormat="1" applyFont="1" applyFill="1" applyBorder="1" applyAlignment="1">
      <alignment vertical="center"/>
    </xf>
    <xf numFmtId="10" fontId="103" fillId="35" borderId="10" xfId="63" applyNumberFormat="1" applyFont="1" applyFill="1" applyBorder="1" applyAlignment="1">
      <alignment vertical="center"/>
    </xf>
    <xf numFmtId="0" fontId="103" fillId="35" borderId="10" xfId="55" applyFont="1" applyFill="1" applyBorder="1" applyAlignment="1">
      <alignment vertical="center" wrapText="1"/>
      <protection/>
    </xf>
    <xf numFmtId="10" fontId="103" fillId="35" borderId="21" xfId="63" applyNumberFormat="1" applyFont="1" applyFill="1" applyBorder="1" applyAlignment="1">
      <alignment vertical="center"/>
    </xf>
    <xf numFmtId="180" fontId="18" fillId="0" borderId="10" xfId="0" applyNumberFormat="1" applyFont="1" applyFill="1" applyBorder="1" applyAlignment="1">
      <alignment horizontal="right" vertical="center"/>
    </xf>
    <xf numFmtId="0" fontId="105" fillId="0" borderId="0" xfId="0" applyFont="1" applyFill="1" applyBorder="1" applyAlignment="1">
      <alignment vertical="center"/>
    </xf>
    <xf numFmtId="0" fontId="93" fillId="0" borderId="10" xfId="0" applyFont="1" applyFill="1" applyBorder="1" applyAlignment="1">
      <alignment horizontal="left" vertical="center" wrapText="1"/>
    </xf>
    <xf numFmtId="10" fontId="93" fillId="0" borderId="11" xfId="63" applyNumberFormat="1" applyFont="1" applyFill="1" applyBorder="1" applyAlignment="1">
      <alignment horizontal="right" vertical="center"/>
    </xf>
    <xf numFmtId="10" fontId="93" fillId="0" borderId="10" xfId="63" applyNumberFormat="1" applyFont="1" applyFill="1" applyBorder="1" applyAlignment="1">
      <alignment horizontal="right" vertical="center"/>
    </xf>
    <xf numFmtId="10" fontId="93" fillId="0" borderId="12" xfId="63" applyNumberFormat="1" applyFont="1" applyFill="1" applyBorder="1" applyAlignment="1">
      <alignment horizontal="right" vertical="center"/>
    </xf>
    <xf numFmtId="10" fontId="93" fillId="0" borderId="10" xfId="63" applyNumberFormat="1" applyFont="1" applyFill="1" applyBorder="1" applyAlignment="1">
      <alignment vertical="center"/>
    </xf>
    <xf numFmtId="10" fontId="93" fillId="0" borderId="12" xfId="63" applyNumberFormat="1" applyFont="1" applyFill="1" applyBorder="1" applyAlignment="1">
      <alignment vertical="center"/>
    </xf>
    <xf numFmtId="0" fontId="106" fillId="0" borderId="0" xfId="0" applyFont="1" applyFill="1" applyBorder="1" applyAlignment="1">
      <alignment vertical="center"/>
    </xf>
    <xf numFmtId="0" fontId="25" fillId="0" borderId="0" xfId="0" applyFont="1" applyFill="1" applyAlignment="1">
      <alignment vertical="center" wrapText="1"/>
    </xf>
    <xf numFmtId="180" fontId="17" fillId="34" borderId="10" xfId="0" applyNumberFormat="1" applyFont="1" applyFill="1" applyBorder="1" applyAlignment="1">
      <alignment vertical="center"/>
    </xf>
    <xf numFmtId="180" fontId="17" fillId="34" borderId="12" xfId="0" applyNumberFormat="1" applyFont="1" applyFill="1" applyBorder="1" applyAlignment="1">
      <alignment vertical="center"/>
    </xf>
    <xf numFmtId="0" fontId="16" fillId="33" borderId="0" xfId="0" applyNumberFormat="1" applyFont="1" applyFill="1" applyBorder="1" applyAlignment="1">
      <alignment horizontal="center" vertical="center" wrapText="1"/>
    </xf>
    <xf numFmtId="3" fontId="2" fillId="0" borderId="0" xfId="0" applyNumberFormat="1" applyFont="1" applyFill="1" applyBorder="1" applyAlignment="1">
      <alignment vertical="center"/>
    </xf>
    <xf numFmtId="180" fontId="17" fillId="0" borderId="0" xfId="0" applyNumberFormat="1" applyFont="1" applyFill="1" applyBorder="1" applyAlignment="1">
      <alignment vertical="center"/>
    </xf>
    <xf numFmtId="0" fontId="2" fillId="37" borderId="0" xfId="0" applyFont="1" applyFill="1" applyBorder="1" applyAlignment="1">
      <alignment vertical="center"/>
    </xf>
    <xf numFmtId="180" fontId="4" fillId="37" borderId="0" xfId="0" applyNumberFormat="1" applyFont="1" applyFill="1" applyBorder="1" applyAlignment="1">
      <alignment vertical="center"/>
    </xf>
    <xf numFmtId="0" fontId="8" fillId="0" borderId="0" xfId="0" applyFont="1" applyBorder="1" applyAlignment="1">
      <alignment vertical="center" wrapText="1"/>
    </xf>
    <xf numFmtId="180" fontId="8" fillId="0" borderId="0" xfId="0" applyNumberFormat="1" applyFont="1" applyBorder="1" applyAlignment="1">
      <alignment vertical="center"/>
    </xf>
    <xf numFmtId="180" fontId="18" fillId="0" borderId="0" xfId="0" applyNumberFormat="1" applyFont="1" applyFill="1" applyBorder="1" applyAlignment="1">
      <alignment vertical="center"/>
    </xf>
    <xf numFmtId="0" fontId="17" fillId="0" borderId="10" xfId="0" applyFont="1" applyFill="1" applyBorder="1" applyAlignment="1">
      <alignment horizontal="left" vertical="center"/>
    </xf>
    <xf numFmtId="180" fontId="17" fillId="0" borderId="11" xfId="0" applyNumberFormat="1" applyFont="1" applyFill="1" applyBorder="1" applyAlignment="1">
      <alignment horizontal="right" vertical="center"/>
    </xf>
    <xf numFmtId="180" fontId="17" fillId="0" borderId="10" xfId="0" applyNumberFormat="1" applyFont="1" applyFill="1" applyBorder="1" applyAlignment="1">
      <alignment horizontal="right" vertical="center"/>
    </xf>
    <xf numFmtId="180" fontId="17" fillId="0" borderId="12"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80" fontId="18" fillId="0" borderId="11" xfId="0" applyNumberFormat="1" applyFont="1" applyFill="1" applyBorder="1" applyAlignment="1">
      <alignment horizontal="right" vertical="center"/>
    </xf>
    <xf numFmtId="180" fontId="18" fillId="0" borderId="12" xfId="0" applyNumberFormat="1" applyFont="1" applyFill="1" applyBorder="1" applyAlignment="1">
      <alignment horizontal="right" vertical="center"/>
    </xf>
    <xf numFmtId="180" fontId="6" fillId="0" borderId="11" xfId="0" applyNumberFormat="1" applyFont="1" applyFill="1" applyBorder="1" applyAlignment="1">
      <alignment horizontal="right" vertical="center"/>
    </xf>
    <xf numFmtId="180" fontId="6" fillId="0" borderId="10" xfId="0" applyNumberFormat="1" applyFont="1" applyFill="1" applyBorder="1" applyAlignment="1">
      <alignment horizontal="right" vertical="center"/>
    </xf>
    <xf numFmtId="180" fontId="6" fillId="0" borderId="12" xfId="0" applyNumberFormat="1" applyFont="1" applyFill="1" applyBorder="1" applyAlignment="1">
      <alignment horizontal="right" vertical="center"/>
    </xf>
    <xf numFmtId="180" fontId="87" fillId="35" borderId="11" xfId="0" applyNumberFormat="1" applyFont="1" applyFill="1" applyBorder="1" applyAlignment="1">
      <alignment horizontal="right" vertical="center"/>
    </xf>
    <xf numFmtId="180" fontId="87" fillId="35" borderId="10" xfId="0" applyNumberFormat="1" applyFont="1" applyFill="1" applyBorder="1" applyAlignment="1">
      <alignment horizontal="right" vertical="center"/>
    </xf>
    <xf numFmtId="180" fontId="87" fillId="35" borderId="12" xfId="0" applyNumberFormat="1" applyFont="1" applyFill="1" applyBorder="1" applyAlignment="1">
      <alignment horizontal="right" vertical="center"/>
    </xf>
    <xf numFmtId="0" fontId="26" fillId="0" borderId="0" xfId="0" applyFont="1" applyFill="1" applyBorder="1" applyAlignment="1">
      <alignment vertical="center"/>
    </xf>
    <xf numFmtId="3" fontId="8" fillId="0" borderId="10" xfId="0" applyNumberFormat="1" applyFont="1" applyFill="1" applyBorder="1" applyAlignment="1" quotePrefix="1">
      <alignment vertical="center" wrapText="1"/>
    </xf>
    <xf numFmtId="3" fontId="16" fillId="33" borderId="0" xfId="0" applyNumberFormat="1" applyFont="1" applyFill="1" applyBorder="1" applyAlignment="1">
      <alignment horizontal="center" vertical="center" wrapText="1"/>
    </xf>
    <xf numFmtId="3" fontId="17" fillId="0" borderId="0" xfId="0" applyNumberFormat="1" applyFont="1" applyFill="1" applyBorder="1" applyAlignment="1">
      <alignment vertical="center"/>
    </xf>
    <xf numFmtId="10" fontId="8" fillId="0" borderId="0" xfId="63" applyNumberFormat="1" applyFont="1" applyFill="1" applyBorder="1" applyAlignment="1">
      <alignment vertical="center"/>
    </xf>
    <xf numFmtId="10" fontId="93" fillId="0" borderId="0" xfId="63" applyNumberFormat="1" applyFont="1" applyFill="1" applyBorder="1" applyAlignment="1">
      <alignment horizontal="right" vertical="center"/>
    </xf>
    <xf numFmtId="181" fontId="8" fillId="0" borderId="0" xfId="63" applyNumberFormat="1" applyFont="1" applyFill="1" applyBorder="1" applyAlignment="1">
      <alignment vertical="center"/>
    </xf>
    <xf numFmtId="4" fontId="8" fillId="0" borderId="0" xfId="0" applyNumberFormat="1" applyFont="1" applyFill="1" applyBorder="1" applyAlignment="1">
      <alignment vertical="center"/>
    </xf>
    <xf numFmtId="0" fontId="29" fillId="0" borderId="10" xfId="0" applyFont="1" applyBorder="1" applyAlignment="1">
      <alignment vertical="center"/>
    </xf>
    <xf numFmtId="0" fontId="29" fillId="0" borderId="10" xfId="0" applyFont="1" applyFill="1" applyBorder="1" applyAlignment="1">
      <alignment vertical="center" wrapText="1"/>
    </xf>
    <xf numFmtId="3" fontId="29" fillId="0" borderId="10" xfId="0" applyNumberFormat="1" applyFont="1" applyFill="1" applyBorder="1" applyAlignment="1">
      <alignment vertical="center" wrapText="1"/>
    </xf>
    <xf numFmtId="0" fontId="29" fillId="0" borderId="10" xfId="0" applyFont="1" applyFill="1" applyBorder="1" applyAlignment="1">
      <alignment horizontal="left" vertical="center" wrapText="1" indent="1"/>
    </xf>
    <xf numFmtId="0" fontId="29" fillId="0" borderId="10" xfId="0" applyFont="1" applyFill="1" applyBorder="1" applyAlignment="1">
      <alignment vertical="center"/>
    </xf>
    <xf numFmtId="0" fontId="27" fillId="0" borderId="10" xfId="0" applyFont="1" applyFill="1" applyBorder="1" applyAlignment="1">
      <alignment vertical="center"/>
    </xf>
    <xf numFmtId="0" fontId="28" fillId="0" borderId="10" xfId="0" applyFont="1" applyFill="1" applyBorder="1" applyAlignment="1">
      <alignment vertical="center"/>
    </xf>
    <xf numFmtId="0" fontId="6" fillId="0" borderId="22" xfId="0" applyFont="1" applyFill="1" applyBorder="1" applyAlignment="1">
      <alignment vertical="center" wrapText="1"/>
    </xf>
    <xf numFmtId="0" fontId="97" fillId="0" borderId="10" xfId="55" applyFont="1" applyFill="1" applyBorder="1" applyAlignment="1">
      <alignment vertical="center"/>
      <protection/>
    </xf>
    <xf numFmtId="180" fontId="93" fillId="0" borderId="16" xfId="0" applyNumberFormat="1" applyFont="1" applyFill="1" applyBorder="1" applyAlignment="1">
      <alignment vertical="center"/>
    </xf>
    <xf numFmtId="180" fontId="93" fillId="0" borderId="13" xfId="0" applyNumberFormat="1" applyFont="1" applyFill="1" applyBorder="1" applyAlignment="1">
      <alignment vertical="center"/>
    </xf>
    <xf numFmtId="180" fontId="93" fillId="0" borderId="17" xfId="0" applyNumberFormat="1" applyFont="1" applyFill="1" applyBorder="1" applyAlignment="1">
      <alignment vertical="center"/>
    </xf>
    <xf numFmtId="180" fontId="17" fillId="0" borderId="23" xfId="0" applyNumberFormat="1" applyFont="1" applyFill="1" applyBorder="1" applyAlignment="1">
      <alignment horizontal="right" vertical="center"/>
    </xf>
    <xf numFmtId="180" fontId="17" fillId="0" borderId="22" xfId="0" applyNumberFormat="1" applyFont="1" applyFill="1" applyBorder="1" applyAlignment="1">
      <alignment horizontal="right" vertical="center"/>
    </xf>
    <xf numFmtId="180" fontId="17" fillId="0" borderId="24" xfId="0" applyNumberFormat="1" applyFont="1" applyFill="1" applyBorder="1" applyAlignment="1">
      <alignment horizontal="right" vertical="center"/>
    </xf>
    <xf numFmtId="0" fontId="0" fillId="0" borderId="0" xfId="0" applyFill="1" applyAlignment="1">
      <alignment/>
    </xf>
    <xf numFmtId="10" fontId="103" fillId="35" borderId="10" xfId="63" applyNumberFormat="1" applyFont="1" applyFill="1" applyBorder="1" applyAlignment="1">
      <alignment horizontal="right" vertical="center"/>
    </xf>
    <xf numFmtId="10" fontId="103" fillId="35" borderId="11" xfId="63" applyNumberFormat="1" applyFont="1" applyFill="1" applyBorder="1" applyAlignment="1">
      <alignment horizontal="right" vertical="center"/>
    </xf>
    <xf numFmtId="180" fontId="92" fillId="0" borderId="11" xfId="0" applyNumberFormat="1" applyFont="1" applyFill="1" applyBorder="1" applyAlignment="1">
      <alignment horizontal="right" vertical="center"/>
    </xf>
    <xf numFmtId="0" fontId="2" fillId="0" borderId="14" xfId="0" applyFont="1" applyFill="1" applyBorder="1" applyAlignment="1">
      <alignment vertical="center"/>
    </xf>
    <xf numFmtId="180" fontId="17" fillId="34" borderId="11" xfId="0" applyNumberFormat="1" applyFont="1" applyFill="1" applyBorder="1" applyAlignment="1">
      <alignment vertical="center"/>
    </xf>
    <xf numFmtId="180" fontId="2" fillId="0" borderId="0" xfId="0" applyNumberFormat="1" applyFont="1" applyFill="1" applyBorder="1" applyAlignment="1">
      <alignment vertical="center"/>
    </xf>
    <xf numFmtId="3" fontId="2" fillId="0" borderId="11"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4" fillId="0" borderId="1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0" fontId="101" fillId="0" borderId="10" xfId="0" applyFont="1" applyBorder="1" applyAlignment="1">
      <alignment horizontal="right"/>
    </xf>
    <xf numFmtId="0" fontId="101" fillId="0" borderId="11" xfId="0" applyFont="1" applyBorder="1" applyAlignment="1">
      <alignment horizontal="right"/>
    </xf>
    <xf numFmtId="0" fontId="101" fillId="0" borderId="12" xfId="0" applyFont="1" applyBorder="1" applyAlignment="1">
      <alignment horizontal="right"/>
    </xf>
    <xf numFmtId="180" fontId="92" fillId="0" borderId="10" xfId="0" applyNumberFormat="1" applyFont="1" applyFill="1" applyBorder="1" applyAlignment="1">
      <alignment horizontal="right" vertical="center"/>
    </xf>
    <xf numFmtId="180" fontId="92" fillId="0" borderId="12" xfId="0" applyNumberFormat="1" applyFont="1" applyFill="1" applyBorder="1" applyAlignment="1">
      <alignment horizontal="right" vertical="center"/>
    </xf>
    <xf numFmtId="180" fontId="96" fillId="0" borderId="10" xfId="0" applyNumberFormat="1" applyFont="1" applyFill="1" applyBorder="1" applyAlignment="1">
      <alignment horizontal="right" vertical="center"/>
    </xf>
    <xf numFmtId="180" fontId="96" fillId="0" borderId="11" xfId="0" applyNumberFormat="1" applyFont="1" applyFill="1" applyBorder="1" applyAlignment="1">
      <alignment horizontal="right" vertical="center"/>
    </xf>
    <xf numFmtId="180" fontId="96" fillId="0" borderId="12" xfId="0" applyNumberFormat="1" applyFont="1" applyFill="1" applyBorder="1" applyAlignment="1">
      <alignment horizontal="right" vertical="center"/>
    </xf>
    <xf numFmtId="180" fontId="93" fillId="0" borderId="13" xfId="0" applyNumberFormat="1" applyFont="1" applyFill="1" applyBorder="1" applyAlignment="1">
      <alignment horizontal="right" vertical="center"/>
    </xf>
    <xf numFmtId="180" fontId="93" fillId="0" borderId="16" xfId="0" applyNumberFormat="1" applyFont="1" applyFill="1" applyBorder="1" applyAlignment="1">
      <alignment horizontal="right" vertical="center"/>
    </xf>
    <xf numFmtId="180" fontId="93" fillId="0" borderId="17" xfId="0" applyNumberFormat="1" applyFont="1" applyFill="1" applyBorder="1" applyAlignment="1">
      <alignment horizontal="right" vertical="center"/>
    </xf>
    <xf numFmtId="180" fontId="102" fillId="0" borderId="10" xfId="0" applyNumberFormat="1" applyFont="1" applyBorder="1" applyAlignment="1">
      <alignment horizontal="right" vertical="center"/>
    </xf>
    <xf numFmtId="180" fontId="102" fillId="0" borderId="11" xfId="0" applyNumberFormat="1" applyFont="1" applyBorder="1" applyAlignment="1">
      <alignment horizontal="right" vertical="center"/>
    </xf>
    <xf numFmtId="180" fontId="102" fillId="0" borderId="12" xfId="0" applyNumberFormat="1" applyFont="1" applyBorder="1" applyAlignment="1">
      <alignment horizontal="right" vertical="center"/>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10" fontId="99" fillId="35" borderId="10" xfId="63" applyNumberFormat="1" applyFont="1" applyFill="1" applyBorder="1" applyAlignment="1">
      <alignment horizontal="right" vertical="center"/>
    </xf>
    <xf numFmtId="10" fontId="99" fillId="35" borderId="11" xfId="63" applyNumberFormat="1" applyFont="1" applyFill="1" applyBorder="1" applyAlignment="1">
      <alignment horizontal="right" vertical="center"/>
    </xf>
    <xf numFmtId="10" fontId="99" fillId="35" borderId="12" xfId="63" applyNumberFormat="1" applyFont="1" applyFill="1" applyBorder="1" applyAlignment="1">
      <alignment horizontal="right" vertical="center"/>
    </xf>
    <xf numFmtId="10" fontId="103" fillId="35" borderId="12" xfId="63" applyNumberFormat="1" applyFont="1" applyFill="1" applyBorder="1" applyAlignment="1">
      <alignment horizontal="right" vertical="center"/>
    </xf>
    <xf numFmtId="0" fontId="93" fillId="0" borderId="10" xfId="0" applyFont="1" applyFill="1" applyBorder="1" applyAlignment="1" quotePrefix="1">
      <alignment horizontal="left" vertical="center" indent="3"/>
    </xf>
    <xf numFmtId="0" fontId="16" fillId="33" borderId="14"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15" xfId="0" applyNumberFormat="1"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16" fillId="33" borderId="14" xfId="0" applyNumberFormat="1" applyFont="1" applyFill="1" applyBorder="1" applyAlignment="1">
      <alignment horizontal="center" vertical="center"/>
    </xf>
    <xf numFmtId="0" fontId="16" fillId="33" borderId="0" xfId="0" applyNumberFormat="1" applyFont="1" applyFill="1" applyBorder="1" applyAlignment="1">
      <alignment horizontal="center" vertical="center"/>
    </xf>
    <xf numFmtId="180" fontId="8" fillId="0" borderId="16" xfId="0" applyNumberFormat="1" applyFont="1" applyFill="1"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16" fillId="35" borderId="14"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15" xfId="0" applyNumberFormat="1" applyFont="1" applyFill="1" applyBorder="1" applyAlignment="1">
      <alignment horizontal="center" vertical="center" wrapText="1"/>
    </xf>
    <xf numFmtId="0" fontId="16" fillId="33" borderId="15" xfId="0" applyNumberFormat="1" applyFont="1" applyFill="1" applyBorder="1" applyAlignment="1">
      <alignment horizontal="center" vertical="center"/>
    </xf>
  </cellXfs>
  <cellStyles count="60">
    <cellStyle name="Normal" xfId="0"/>
    <cellStyle name="˙˙˙" xfId="15"/>
    <cellStyle name="˙˙˙ 2" xfId="16"/>
    <cellStyle name="20% - akcent 1" xfId="17"/>
    <cellStyle name="20% - akcent 2" xfId="18"/>
    <cellStyle name="20% - akcent 3" xfId="19"/>
    <cellStyle name="20% - akcent 4" xfId="20"/>
    <cellStyle name="20% - akcent 5" xfId="21"/>
    <cellStyle name="20% - akcent 6" xfId="22"/>
    <cellStyle name="40% - akcent 1" xfId="23"/>
    <cellStyle name="40% - akcent 2" xfId="24"/>
    <cellStyle name="40% - akcent 3" xfId="25"/>
    <cellStyle name="40% - akcent 4" xfId="26"/>
    <cellStyle name="40% - akcent 5" xfId="27"/>
    <cellStyle name="40% - akcent 6" xfId="28"/>
    <cellStyle name="60% - akcent 1" xfId="29"/>
    <cellStyle name="60% - akcent 2" xfId="30"/>
    <cellStyle name="60% - akcent 3" xfId="31"/>
    <cellStyle name="60% - akcent 4" xfId="32"/>
    <cellStyle name="60% - akcent 5" xfId="33"/>
    <cellStyle name="60% - akcent 6" xfId="34"/>
    <cellStyle name="Akcent 1" xfId="35"/>
    <cellStyle name="Akcent 2" xfId="36"/>
    <cellStyle name="Akcent 3" xfId="37"/>
    <cellStyle name="Akcent 4" xfId="38"/>
    <cellStyle name="Akcent 5" xfId="39"/>
    <cellStyle name="Akcent 6" xfId="40"/>
    <cellStyle name="Dane wejściowe" xfId="41"/>
    <cellStyle name="Dane wyjściowe" xfId="42"/>
    <cellStyle name="Dobre" xfId="43"/>
    <cellStyle name="Comma" xfId="44"/>
    <cellStyle name="Comma [0]"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3" xfId="56"/>
    <cellStyle name="Normalny 3 2" xfId="57"/>
    <cellStyle name="Normalny 4" xfId="58"/>
    <cellStyle name="Normalny 4 2" xfId="59"/>
    <cellStyle name="Normalny 5" xfId="60"/>
    <cellStyle name="Obliczenia" xfId="61"/>
    <cellStyle name="Followed Hyperlink" xfId="62"/>
    <cellStyle name="Percent" xfId="63"/>
    <cellStyle name="Procentowy 2" xfId="64"/>
    <cellStyle name="Procentowy 3" xfId="65"/>
    <cellStyle name="Suma" xfId="66"/>
    <cellStyle name="Tekst objaśnienia" xfId="67"/>
    <cellStyle name="Tekst ostrzeżenia" xfId="68"/>
    <cellStyle name="Tytuł" xfId="69"/>
    <cellStyle name="Uwaga" xfId="70"/>
    <cellStyle name="Currency" xfId="71"/>
    <cellStyle name="Currency [0]" xfId="72"/>
    <cellStyle name="Złe"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I57"/>
  <sheetViews>
    <sheetView showGridLines="0" tabSelected="1" view="pageBreakPreview" zoomScaleNormal="85" zoomScaleSheetLayoutView="100" zoomScalePageLayoutView="80" workbookViewId="0" topLeftCell="A1">
      <pane xSplit="2" ySplit="3" topLeftCell="U4" activePane="bottomRight" state="frozen"/>
      <selection pane="topLeft" activeCell="B1" sqref="B1"/>
      <selection pane="topRight" activeCell="B1" sqref="B1"/>
      <selection pane="bottomLeft" activeCell="B1" sqref="B1"/>
      <selection pane="bottomRight" activeCell="AB5" sqref="AB5"/>
    </sheetView>
  </sheetViews>
  <sheetFormatPr defaultColWidth="9.00390625" defaultRowHeight="12.75" outlineLevelCol="1"/>
  <cols>
    <col min="1" max="1" width="50.625" style="2" customWidth="1"/>
    <col min="2" max="2" width="50.625" style="2" hidden="1" customWidth="1" outlineLevel="1"/>
    <col min="3" max="3" width="9.50390625" style="25" bestFit="1" customWidth="1" collapsed="1"/>
    <col min="4" max="27" width="9.50390625" style="25" bestFit="1" customWidth="1"/>
    <col min="28" max="28" width="9.50390625" style="3" bestFit="1" customWidth="1"/>
    <col min="29" max="32" width="9.50390625" style="3" customWidth="1"/>
    <col min="33" max="33" width="9.50390625" style="3" bestFit="1" customWidth="1"/>
    <col min="34" max="34" width="9.50390625" style="3" customWidth="1"/>
    <col min="35" max="16384" width="8.875" style="3" customWidth="1"/>
  </cols>
  <sheetData>
    <row r="1" spans="1:2" ht="12.75">
      <c r="A1" s="259" t="s">
        <v>585</v>
      </c>
      <c r="B1" s="259" t="s">
        <v>586</v>
      </c>
    </row>
    <row r="2" spans="1:34" ht="12.75">
      <c r="A2" s="343" t="s">
        <v>359</v>
      </c>
      <c r="B2" s="343" t="s">
        <v>165</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2"/>
      <c r="AA2" s="340">
        <v>2013</v>
      </c>
      <c r="AB2" s="341"/>
      <c r="AC2" s="341"/>
      <c r="AD2" s="342"/>
      <c r="AE2" s="340">
        <v>2014</v>
      </c>
      <c r="AF2" s="341"/>
      <c r="AG2" s="341"/>
      <c r="AH2" s="262"/>
    </row>
    <row r="3" spans="1:34" s="4" customFormat="1" ht="12.75">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6" t="s">
        <v>183</v>
      </c>
      <c r="AA3" s="34" t="s">
        <v>180</v>
      </c>
      <c r="AB3" s="35" t="s">
        <v>181</v>
      </c>
      <c r="AC3" s="35" t="s">
        <v>182</v>
      </c>
      <c r="AD3" s="36" t="s">
        <v>183</v>
      </c>
      <c r="AE3" s="35" t="s">
        <v>180</v>
      </c>
      <c r="AF3" s="35" t="s">
        <v>181</v>
      </c>
      <c r="AG3" s="35" t="s">
        <v>182</v>
      </c>
      <c r="AH3" s="35"/>
    </row>
    <row r="4" spans="1:34" s="4" customFormat="1" ht="12.75" customHeight="1">
      <c r="A4" s="20" t="s">
        <v>185</v>
      </c>
      <c r="B4" s="20" t="s">
        <v>12</v>
      </c>
      <c r="C4" s="26"/>
      <c r="D4" s="27"/>
      <c r="E4" s="27"/>
      <c r="F4" s="27"/>
      <c r="G4" s="26"/>
      <c r="H4" s="27"/>
      <c r="I4" s="27"/>
      <c r="J4" s="28"/>
      <c r="K4" s="26"/>
      <c r="L4" s="27"/>
      <c r="M4" s="27"/>
      <c r="N4" s="28"/>
      <c r="O4" s="26"/>
      <c r="P4" s="27"/>
      <c r="Q4" s="27"/>
      <c r="R4" s="28"/>
      <c r="S4" s="26"/>
      <c r="T4" s="27"/>
      <c r="U4" s="27"/>
      <c r="V4" s="28"/>
      <c r="W4" s="26"/>
      <c r="X4" s="27"/>
      <c r="Y4" s="27"/>
      <c r="Z4" s="28"/>
      <c r="AA4" s="26"/>
      <c r="AB4" s="27"/>
      <c r="AC4" s="27"/>
      <c r="AD4" s="28"/>
      <c r="AE4" s="27"/>
      <c r="AF4" s="27"/>
      <c r="AG4" s="27"/>
      <c r="AH4" s="84"/>
    </row>
    <row r="5" spans="1:34" s="9" customFormat="1" ht="12.75">
      <c r="A5" s="37" t="s">
        <v>373</v>
      </c>
      <c r="B5" s="37" t="s">
        <v>169</v>
      </c>
      <c r="C5" s="26"/>
      <c r="D5" s="27"/>
      <c r="E5" s="27"/>
      <c r="F5" s="27"/>
      <c r="G5" s="26"/>
      <c r="H5" s="27"/>
      <c r="I5" s="27"/>
      <c r="J5" s="28"/>
      <c r="K5" s="26"/>
      <c r="L5" s="27"/>
      <c r="M5" s="27"/>
      <c r="N5" s="28"/>
      <c r="O5" s="26"/>
      <c r="P5" s="27"/>
      <c r="Q5" s="27"/>
      <c r="R5" s="28"/>
      <c r="S5" s="26"/>
      <c r="T5" s="27"/>
      <c r="U5" s="27"/>
      <c r="V5" s="28"/>
      <c r="W5" s="26"/>
      <c r="X5" s="27"/>
      <c r="Y5" s="27"/>
      <c r="Z5" s="28"/>
      <c r="AA5" s="26"/>
      <c r="AB5" s="27"/>
      <c r="AC5" s="27"/>
      <c r="AD5" s="28"/>
      <c r="AE5" s="27"/>
      <c r="AF5" s="27"/>
      <c r="AG5" s="27"/>
      <c r="AH5" s="84"/>
    </row>
    <row r="6" spans="1:35" s="7" customFormat="1" ht="12.75">
      <c r="A6" s="38" t="s">
        <v>362</v>
      </c>
      <c r="B6" s="38" t="s">
        <v>404</v>
      </c>
      <c r="C6" s="39">
        <f>'RZiS_P&amp;L'!C15+'RZiS_P&amp;L'!C22</f>
        <v>539.2</v>
      </c>
      <c r="D6" s="40">
        <f>'RZiS_P&amp;L'!D15+'RZiS_P&amp;L'!D22</f>
        <v>522.2000000000002</v>
      </c>
      <c r="E6" s="40">
        <f>'RZiS_P&amp;L'!E15+'RZiS_P&amp;L'!E22</f>
        <v>542.3</v>
      </c>
      <c r="F6" s="41">
        <f>'RZiS_P&amp;L'!F15+'RZiS_P&amp;L'!F22</f>
        <v>473.19999999999993</v>
      </c>
      <c r="G6" s="39">
        <f>'RZiS_P&amp;L'!G15+'RZiS_P&amp;L'!G22</f>
        <v>582.7</v>
      </c>
      <c r="H6" s="40">
        <f>'RZiS_P&amp;L'!H15+'RZiS_P&amp;L'!H22</f>
        <v>625.6999999999999</v>
      </c>
      <c r="I6" s="40">
        <f>'RZiS_P&amp;L'!I15+'RZiS_P&amp;L'!I22</f>
        <v>620.2</v>
      </c>
      <c r="J6" s="41">
        <f>'RZiS_P&amp;L'!J15+'RZiS_P&amp;L'!J22</f>
        <v>303.9</v>
      </c>
      <c r="K6" s="39">
        <f>'RZiS_P&amp;L'!K15+'RZiS_P&amp;L'!K22</f>
        <v>561.3999999999999</v>
      </c>
      <c r="L6" s="40">
        <f>'RZiS_P&amp;L'!L15+'RZiS_P&amp;L'!L22</f>
        <v>689.1</v>
      </c>
      <c r="M6" s="40">
        <f>'RZiS_P&amp;L'!M15+'RZiS_P&amp;L'!M22</f>
        <v>708.3999999999999</v>
      </c>
      <c r="N6" s="41">
        <f>'RZiS_P&amp;L'!N15+'RZiS_P&amp;L'!N22</f>
        <v>589.6999999999999</v>
      </c>
      <c r="O6" s="39">
        <f>'RZiS_P&amp;L'!O15+'RZiS_P&amp;L'!O22</f>
        <v>661.9999999999999</v>
      </c>
      <c r="P6" s="40">
        <f>'RZiS_P&amp;L'!P15+'RZiS_P&amp;L'!P22</f>
        <v>682.5</v>
      </c>
      <c r="Q6" s="40">
        <f>'RZiS_P&amp;L'!Q15+'RZiS_P&amp;L'!Q22</f>
        <v>704.0999999999999</v>
      </c>
      <c r="R6" s="41">
        <f>'RZiS_P&amp;L'!R15+'RZiS_P&amp;L'!R22</f>
        <v>698.5999999999999</v>
      </c>
      <c r="S6" s="39">
        <f>'RZiS_P&amp;L'!S15+'RZiS_P&amp;L'!S22</f>
        <v>741.6000000000001</v>
      </c>
      <c r="T6" s="40">
        <f>'RZiS_P&amp;L'!T15+'RZiS_P&amp;L'!T22</f>
        <v>759.5</v>
      </c>
      <c r="U6" s="40">
        <f>'RZiS_P&amp;L'!U15+'RZiS_P&amp;L'!U22</f>
        <v>734.8000000000001</v>
      </c>
      <c r="V6" s="41">
        <f>'RZiS_P&amp;L'!V15+'RZiS_P&amp;L'!V22</f>
        <v>754.1</v>
      </c>
      <c r="W6" s="39">
        <f>'RZiS_P&amp;L'!W15+'RZiS_P&amp;L'!W22</f>
        <v>856.8000000000001</v>
      </c>
      <c r="X6" s="40">
        <f>'RZiS_P&amp;L'!X15+'RZiS_P&amp;L'!X22</f>
        <v>803.5</v>
      </c>
      <c r="Y6" s="40">
        <f>'RZiS_P&amp;L'!Y15+'RZiS_P&amp;L'!Y22</f>
        <v>801.4999999999998</v>
      </c>
      <c r="Z6" s="41">
        <f>'RZiS_P&amp;L'!Z15+'RZiS_P&amp;L'!Z22</f>
        <v>783.3000000000001</v>
      </c>
      <c r="AA6" s="39">
        <f>'RZiS_P&amp;L'!AA15+'RZiS_P&amp;L'!AA22</f>
        <v>864.1999999999999</v>
      </c>
      <c r="AB6" s="40">
        <f>'RZiS_P&amp;L'!AB15+'RZiS_P&amp;L'!AB22</f>
        <v>814.0999999999999</v>
      </c>
      <c r="AC6" s="40">
        <f>'RZiS_P&amp;L'!AC15+'RZiS_P&amp;L'!AC22</f>
        <v>811.1000000000001</v>
      </c>
      <c r="AD6" s="41">
        <f>'RZiS_P&amp;L'!AD15+'RZiS_P&amp;L'!AD22</f>
        <v>839.1000000000001</v>
      </c>
      <c r="AE6" s="40">
        <f>'RZiS_P&amp;L'!AE15+'RZiS_P&amp;L'!AE22</f>
        <v>883.8000000000001</v>
      </c>
      <c r="AF6" s="40">
        <f>'RZiS_P&amp;L'!AF15+'RZiS_P&amp;L'!AF22</f>
        <v>897.7</v>
      </c>
      <c r="AG6" s="40">
        <f>'RZiS_P&amp;L'!AG15+'RZiS_P&amp;L'!AG22</f>
        <v>897.3000000000002</v>
      </c>
      <c r="AH6" s="86"/>
      <c r="AI6" s="87"/>
    </row>
    <row r="7" spans="1:35" s="7" customFormat="1" ht="12.75">
      <c r="A7" s="38" t="s">
        <v>363</v>
      </c>
      <c r="B7" s="38" t="s">
        <v>405</v>
      </c>
      <c r="C7" s="39">
        <f>'RZiS_P&amp;L'!C16</f>
        <v>336.1</v>
      </c>
      <c r="D7" s="40">
        <f>'RZiS_P&amp;L'!D16</f>
        <v>345</v>
      </c>
      <c r="E7" s="40">
        <f>'RZiS_P&amp;L'!E16</f>
        <v>356.9</v>
      </c>
      <c r="F7" s="41">
        <f>'RZiS_P&amp;L'!F16-'RZiS_P&amp;L'!F20</f>
        <v>355.1</v>
      </c>
      <c r="G7" s="39">
        <f>'RZiS_P&amp;L'!G16</f>
        <v>367.69999999999993</v>
      </c>
      <c r="H7" s="40">
        <f>'RZiS_P&amp;L'!H16</f>
        <v>389.9</v>
      </c>
      <c r="I7" s="40">
        <f>'RZiS_P&amp;L'!I16</f>
        <v>407.7</v>
      </c>
      <c r="J7" s="41">
        <f>'RZiS_P&amp;L'!J16-'RZiS_P&amp;L'!J20</f>
        <v>338.59999999999997</v>
      </c>
      <c r="K7" s="39">
        <f>'RZiS_P&amp;L'!K16</f>
        <v>366.79999999999995</v>
      </c>
      <c r="L7" s="40">
        <f>'RZiS_P&amp;L'!L16</f>
        <v>386.6</v>
      </c>
      <c r="M7" s="40">
        <f>'RZiS_P&amp;L'!M16</f>
        <v>397.29999999999995</v>
      </c>
      <c r="N7" s="41">
        <f>'RZiS_P&amp;L'!N16-'RZiS_P&amp;L'!N20</f>
        <v>355.2</v>
      </c>
      <c r="O7" s="39">
        <f>'RZiS_P&amp;L'!O16</f>
        <v>394.4</v>
      </c>
      <c r="P7" s="40">
        <f>'RZiS_P&amp;L'!P16</f>
        <v>407.1</v>
      </c>
      <c r="Q7" s="40">
        <f>'RZiS_P&amp;L'!Q16</f>
        <v>411.6</v>
      </c>
      <c r="R7" s="41">
        <f>'RZiS_P&amp;L'!R16-'RZiS_P&amp;L'!R20</f>
        <v>396.4</v>
      </c>
      <c r="S7" s="39">
        <f>'RZiS_P&amp;L'!S16</f>
        <v>417.4</v>
      </c>
      <c r="T7" s="40">
        <f>'RZiS_P&amp;L'!T16</f>
        <v>431.8</v>
      </c>
      <c r="U7" s="40">
        <f>'RZiS_P&amp;L'!U16</f>
        <v>431.1</v>
      </c>
      <c r="V7" s="41">
        <f>'RZiS_P&amp;L'!V16-'RZiS_P&amp;L'!V20</f>
        <v>419.7</v>
      </c>
      <c r="W7" s="39">
        <f>'RZiS_P&amp;L'!W16</f>
        <v>474.90000000000003</v>
      </c>
      <c r="X7" s="40">
        <f>'RZiS_P&amp;L'!X16</f>
        <v>465</v>
      </c>
      <c r="Y7" s="40">
        <f>'RZiS_P&amp;L'!Y16</f>
        <v>466.2</v>
      </c>
      <c r="Z7" s="41">
        <f>'RZiS_P&amp;L'!Z16-'RZiS_P&amp;L'!Z20</f>
        <v>460.1</v>
      </c>
      <c r="AA7" s="39">
        <f>'RZiS_P&amp;L'!AA16</f>
        <v>482.2</v>
      </c>
      <c r="AB7" s="40">
        <f>'RZiS_P&amp;L'!AB16</f>
        <v>477</v>
      </c>
      <c r="AC7" s="40">
        <f>'RZiS_P&amp;L'!AC16</f>
        <v>458.79999999999995</v>
      </c>
      <c r="AD7" s="41">
        <f>'RZiS_P&amp;L'!AD16-'RZiS_P&amp;L'!AD20</f>
        <v>450.40000000000003</v>
      </c>
      <c r="AE7" s="40">
        <f>'RZiS_P&amp;L'!AE16-'RZiS_P&amp;L'!AE20</f>
        <v>471.20000000000005</v>
      </c>
      <c r="AF7" s="40">
        <f>'RZiS_P&amp;L'!AF16-'RZiS_P&amp;L'!AF20</f>
        <v>480.5</v>
      </c>
      <c r="AG7" s="40">
        <f>'RZiS_P&amp;L'!AG16-'RZiS_P&amp;L'!AG20</f>
        <v>489.5</v>
      </c>
      <c r="AH7" s="86"/>
      <c r="AI7" s="87"/>
    </row>
    <row r="8" spans="1:34" s="7" customFormat="1" ht="12.75">
      <c r="A8" s="38" t="s">
        <v>360</v>
      </c>
      <c r="B8" s="38" t="s">
        <v>157</v>
      </c>
      <c r="C8" s="39">
        <f>'RZiS_P&amp;L'!C21</f>
        <v>-6.3</v>
      </c>
      <c r="D8" s="40">
        <f>'RZiS_P&amp;L'!D21</f>
        <v>-26.7</v>
      </c>
      <c r="E8" s="40">
        <f>'RZiS_P&amp;L'!E21</f>
        <v>-64.4</v>
      </c>
      <c r="F8" s="41">
        <f>'RZiS_P&amp;L'!F21</f>
        <v>-5.8</v>
      </c>
      <c r="G8" s="39">
        <f>'RZiS_P&amp;L'!G21</f>
        <v>0.7</v>
      </c>
      <c r="H8" s="40">
        <f>'RZiS_P&amp;L'!H21</f>
        <v>-58.8</v>
      </c>
      <c r="I8" s="40">
        <f>'RZiS_P&amp;L'!I21</f>
        <v>7.2</v>
      </c>
      <c r="J8" s="41">
        <f>'RZiS_P&amp;L'!J21</f>
        <v>116.5</v>
      </c>
      <c r="K8" s="39">
        <f>'RZiS_P&amp;L'!K21</f>
        <v>91.7</v>
      </c>
      <c r="L8" s="40">
        <f>'RZiS_P&amp;L'!L21</f>
        <v>73.8</v>
      </c>
      <c r="M8" s="40">
        <f>'RZiS_P&amp;L'!M21</f>
        <v>54.1</v>
      </c>
      <c r="N8" s="41">
        <f>'RZiS_P&amp;L'!N21</f>
        <v>84.8</v>
      </c>
      <c r="O8" s="39">
        <f>'RZiS_P&amp;L'!O21</f>
        <v>48.1</v>
      </c>
      <c r="P8" s="40">
        <f>'RZiS_P&amp;L'!P21</f>
        <v>39.2</v>
      </c>
      <c r="Q8" s="40">
        <f>'RZiS_P&amp;L'!Q21</f>
        <v>55.1</v>
      </c>
      <c r="R8" s="41">
        <f>'RZiS_P&amp;L'!R21</f>
        <v>61.2</v>
      </c>
      <c r="S8" s="39">
        <f>'RZiS_P&amp;L'!S21</f>
        <v>57.1</v>
      </c>
      <c r="T8" s="40">
        <f>'RZiS_P&amp;L'!T21</f>
        <v>37.7</v>
      </c>
      <c r="U8" s="40">
        <f>'RZiS_P&amp;L'!U21</f>
        <v>27.1</v>
      </c>
      <c r="V8" s="41">
        <f>'RZiS_P&amp;L'!V21</f>
        <v>50.5</v>
      </c>
      <c r="W8" s="39">
        <f>'RZiS_P&amp;L'!W21</f>
        <v>64.3</v>
      </c>
      <c r="X8" s="40">
        <f>'RZiS_P&amp;L'!X21</f>
        <v>131.2</v>
      </c>
      <c r="Y8" s="40">
        <f>'RZiS_P&amp;L'!Y21</f>
        <v>82.60000000000002</v>
      </c>
      <c r="Z8" s="41">
        <f>'RZiS_P&amp;L'!Z21</f>
        <v>84.7</v>
      </c>
      <c r="AA8" s="39">
        <f>'RZiS_P&amp;L'!AA21</f>
        <v>58</v>
      </c>
      <c r="AB8" s="40">
        <f>'RZiS_P&amp;L'!AB21</f>
        <v>69.1</v>
      </c>
      <c r="AC8" s="40">
        <f>'RZiS_P&amp;L'!AC21</f>
        <v>63.7</v>
      </c>
      <c r="AD8" s="41">
        <f>'RZiS_P&amp;L'!AD21</f>
        <v>76.39999999999999</v>
      </c>
      <c r="AE8" s="40">
        <f>'RZiS_P&amp;L'!AE21</f>
        <v>84.1</v>
      </c>
      <c r="AF8" s="40">
        <f>'RZiS_P&amp;L'!AF21</f>
        <v>33.3</v>
      </c>
      <c r="AG8" s="40">
        <f>'RZiS_P&amp;L'!AG21</f>
        <v>65.2</v>
      </c>
      <c r="AH8" s="86"/>
    </row>
    <row r="9" spans="1:34" s="4" customFormat="1" ht="12.75">
      <c r="A9" s="42" t="s">
        <v>361</v>
      </c>
      <c r="B9" s="42" t="s">
        <v>158</v>
      </c>
      <c r="C9" s="43">
        <f>'RZiS_P&amp;L'!C23</f>
        <v>209.40000000000006</v>
      </c>
      <c r="D9" s="44">
        <f>'RZiS_P&amp;L'!D23</f>
        <v>203.90000000000018</v>
      </c>
      <c r="E9" s="44">
        <f>'RZiS_P&amp;L'!E23</f>
        <v>249.79999999999995</v>
      </c>
      <c r="F9" s="45">
        <f>'RZiS_P&amp;L'!F23</f>
        <v>123.89999999999992</v>
      </c>
      <c r="G9" s="43">
        <f>'RZiS_P&amp;L'!G23</f>
        <v>214.3000000000001</v>
      </c>
      <c r="H9" s="44">
        <f>'RZiS_P&amp;L'!H23</f>
        <v>294.5999999999999</v>
      </c>
      <c r="I9" s="44">
        <f>'RZiS_P&amp;L'!I23</f>
        <v>205.30000000000007</v>
      </c>
      <c r="J9" s="45">
        <f>'RZiS_P&amp;L'!J23</f>
        <v>-151.19999999999996</v>
      </c>
      <c r="K9" s="43">
        <f>'RZiS_P&amp;L'!K23</f>
        <v>102.89999999999988</v>
      </c>
      <c r="L9" s="44">
        <f>'RZiS_P&amp;L'!L23</f>
        <v>228.7</v>
      </c>
      <c r="M9" s="44">
        <f>'RZiS_P&amp;L'!M23</f>
        <v>256.99999999999994</v>
      </c>
      <c r="N9" s="45">
        <f>'RZiS_P&amp;L'!N23</f>
        <v>149.6999999999999</v>
      </c>
      <c r="O9" s="43">
        <f>'RZiS_P&amp;L'!O23</f>
        <v>219.49999999999997</v>
      </c>
      <c r="P9" s="44">
        <f>'RZiS_P&amp;L'!P23</f>
        <v>236.20000000000002</v>
      </c>
      <c r="Q9" s="44">
        <f>'RZiS_P&amp;L'!Q23</f>
        <v>237.39999999999986</v>
      </c>
      <c r="R9" s="45">
        <f>'RZiS_P&amp;L'!R23</f>
        <v>240.99999999999997</v>
      </c>
      <c r="S9" s="43">
        <f>'RZiS_P&amp;L'!S23</f>
        <v>267.1000000000001</v>
      </c>
      <c r="T9" s="44">
        <f>'RZiS_P&amp;L'!T23</f>
        <v>289.99999999999994</v>
      </c>
      <c r="U9" s="44">
        <f>'RZiS_P&amp;L'!U23</f>
        <v>276.59999999999997</v>
      </c>
      <c r="V9" s="45">
        <f>'RZiS_P&amp;L'!V23</f>
        <v>283.90000000000003</v>
      </c>
      <c r="W9" s="43">
        <f>'RZiS_P&amp;L'!W23</f>
        <v>317.6000000000001</v>
      </c>
      <c r="X9" s="44">
        <f>'RZiS_P&amp;L'!X23</f>
        <v>207.29999999999995</v>
      </c>
      <c r="Y9" s="44">
        <f>'RZiS_P&amp;L'!Y23</f>
        <v>252.69999999999973</v>
      </c>
      <c r="Z9" s="45">
        <f>'RZiS_P&amp;L'!Z23</f>
        <v>238.50000000000003</v>
      </c>
      <c r="AA9" s="43">
        <f>'RZiS_P&amp;L'!AA23</f>
        <v>323.99999999999994</v>
      </c>
      <c r="AB9" s="44">
        <f>'RZiS_P&amp;L'!AB23</f>
        <v>267.99999999999994</v>
      </c>
      <c r="AC9" s="44">
        <f>'RZiS_P&amp;L'!AC23</f>
        <v>288.60000000000025</v>
      </c>
      <c r="AD9" s="45">
        <f>'RZiS_P&amp;L'!AD23</f>
        <v>312.3000000000001</v>
      </c>
      <c r="AE9" s="44">
        <f>'RZiS_P&amp;L'!AE23</f>
        <v>328.49999999999994</v>
      </c>
      <c r="AF9" s="44">
        <f>'RZiS_P&amp;L'!AF23</f>
        <v>383.90000000000003</v>
      </c>
      <c r="AG9" s="44">
        <f>'RZiS_P&amp;L'!AG23</f>
        <v>342.6000000000002</v>
      </c>
      <c r="AH9" s="86"/>
    </row>
    <row r="10" spans="1:34" s="4" customFormat="1" ht="12.75">
      <c r="A10" s="38" t="s">
        <v>364</v>
      </c>
      <c r="B10" s="38" t="s">
        <v>406</v>
      </c>
      <c r="C10" s="39">
        <f>'RZiS_P&amp;L'!C26</f>
        <v>167.40000000000006</v>
      </c>
      <c r="D10" s="40">
        <f>'RZiS_P&amp;L'!D26</f>
        <v>167.80000000000018</v>
      </c>
      <c r="E10" s="40">
        <f>'RZiS_P&amp;L'!E26</f>
        <v>197.99999999999994</v>
      </c>
      <c r="F10" s="41">
        <f>'RZiS_P&amp;L'!F26</f>
        <v>97.49999999999991</v>
      </c>
      <c r="G10" s="39">
        <f>'RZiS_P&amp;L'!G26</f>
        <v>173.8000000000001</v>
      </c>
      <c r="H10" s="40">
        <f>'RZiS_P&amp;L'!H26</f>
        <v>233.6999999999999</v>
      </c>
      <c r="I10" s="40">
        <f>'RZiS_P&amp;L'!I26</f>
        <v>166.90000000000006</v>
      </c>
      <c r="J10" s="41">
        <f>'RZiS_P&amp;L'!J26</f>
        <v>-128.99999999999997</v>
      </c>
      <c r="K10" s="39">
        <f>'RZiS_P&amp;L'!K26</f>
        <v>80.79999999999987</v>
      </c>
      <c r="L10" s="40">
        <f>'RZiS_P&amp;L'!L26</f>
        <v>182.7</v>
      </c>
      <c r="M10" s="40">
        <f>'RZiS_P&amp;L'!M26</f>
        <v>210.79999999999995</v>
      </c>
      <c r="N10" s="41">
        <f>'RZiS_P&amp;L'!N26</f>
        <v>120.7999999999999</v>
      </c>
      <c r="O10" s="39">
        <f>'RZiS_P&amp;L'!O26</f>
        <v>177.49999999999997</v>
      </c>
      <c r="P10" s="40">
        <f>'RZiS_P&amp;L'!P26</f>
        <v>191.5</v>
      </c>
      <c r="Q10" s="40">
        <f>'RZiS_P&amp;L'!Q26</f>
        <v>192.39999999999986</v>
      </c>
      <c r="R10" s="41">
        <f>'RZiS_P&amp;L'!R26</f>
        <v>191.7</v>
      </c>
      <c r="S10" s="39">
        <f>'RZiS_P&amp;L'!S26</f>
        <v>212.50000000000009</v>
      </c>
      <c r="T10" s="40">
        <f>'RZiS_P&amp;L'!T26</f>
        <v>233.89999999999995</v>
      </c>
      <c r="U10" s="40">
        <f>'RZiS_P&amp;L'!U26</f>
        <v>220.09999999999997</v>
      </c>
      <c r="V10" s="41">
        <f>'RZiS_P&amp;L'!V26</f>
        <v>213.60000000000002</v>
      </c>
      <c r="W10" s="39">
        <f>'RZiS_P&amp;L'!W26</f>
        <v>271.50000000000006</v>
      </c>
      <c r="X10" s="40">
        <f>'RZiS_P&amp;L'!X26</f>
        <v>167.59999999999997</v>
      </c>
      <c r="Y10" s="40">
        <f>'RZiS_P&amp;L'!Y26</f>
        <v>203.19999999999973</v>
      </c>
      <c r="Z10" s="41">
        <f>'RZiS_P&amp;L'!Z26</f>
        <v>190.00000000000003</v>
      </c>
      <c r="AA10" s="39">
        <f>'RZiS_P&amp;L'!AA26</f>
        <v>259.69999999999993</v>
      </c>
      <c r="AB10" s="40">
        <f>'RZiS_P&amp;L'!AB26</f>
        <v>216.89999999999995</v>
      </c>
      <c r="AC10" s="40">
        <f>'RZiS_P&amp;L'!AC26</f>
        <v>234.40000000000026</v>
      </c>
      <c r="AD10" s="41">
        <f>'RZiS_P&amp;L'!AD26</f>
        <v>250.5000000000001</v>
      </c>
      <c r="AE10" s="40">
        <f>'RZiS_P&amp;L'!AE26</f>
        <v>254.59999999999994</v>
      </c>
      <c r="AF10" s="40">
        <f>'RZiS_P&amp;L'!AF26</f>
        <v>282.3</v>
      </c>
      <c r="AG10" s="40">
        <f>'RZiS_P&amp;L'!AG26</f>
        <v>273.00000000000017</v>
      </c>
      <c r="AH10" s="86"/>
    </row>
    <row r="11" spans="1:34" s="9" customFormat="1" ht="12.75">
      <c r="A11" s="37"/>
      <c r="B11" s="37"/>
      <c r="C11" s="46"/>
      <c r="D11" s="47"/>
      <c r="E11" s="47"/>
      <c r="F11" s="48"/>
      <c r="G11" s="47"/>
      <c r="H11" s="47"/>
      <c r="I11" s="47"/>
      <c r="J11" s="47"/>
      <c r="K11" s="46"/>
      <c r="L11" s="47"/>
      <c r="M11" s="47"/>
      <c r="N11" s="48"/>
      <c r="O11" s="47"/>
      <c r="P11" s="47"/>
      <c r="Q11" s="47"/>
      <c r="R11" s="47"/>
      <c r="S11" s="46"/>
      <c r="T11" s="47"/>
      <c r="U11" s="47"/>
      <c r="V11" s="48"/>
      <c r="W11" s="46"/>
      <c r="X11" s="47"/>
      <c r="Y11" s="47"/>
      <c r="Z11" s="48"/>
      <c r="AA11" s="46"/>
      <c r="AB11" s="47"/>
      <c r="AC11" s="47"/>
      <c r="AD11" s="48"/>
      <c r="AE11" s="47"/>
      <c r="AF11" s="47"/>
      <c r="AG11" s="47"/>
      <c r="AH11" s="264"/>
    </row>
    <row r="12" spans="1:34" s="9" customFormat="1" ht="12.75">
      <c r="A12" s="37" t="s">
        <v>372</v>
      </c>
      <c r="B12" s="37" t="s">
        <v>486</v>
      </c>
      <c r="C12" s="49"/>
      <c r="D12" s="50"/>
      <c r="E12" s="50"/>
      <c r="F12" s="51"/>
      <c r="G12" s="50"/>
      <c r="H12" s="50"/>
      <c r="I12" s="50"/>
      <c r="J12" s="50"/>
      <c r="K12" s="49"/>
      <c r="L12" s="50"/>
      <c r="M12" s="50"/>
      <c r="N12" s="51"/>
      <c r="O12" s="50"/>
      <c r="P12" s="50"/>
      <c r="Q12" s="50"/>
      <c r="R12" s="50"/>
      <c r="S12" s="49"/>
      <c r="T12" s="50"/>
      <c r="U12" s="50"/>
      <c r="V12" s="51"/>
      <c r="W12" s="49"/>
      <c r="X12" s="50"/>
      <c r="Y12" s="50"/>
      <c r="Z12" s="51"/>
      <c r="AA12" s="49"/>
      <c r="AB12" s="50"/>
      <c r="AC12" s="50"/>
      <c r="AD12" s="51"/>
      <c r="AE12" s="50"/>
      <c r="AF12" s="50"/>
      <c r="AG12" s="50"/>
      <c r="AH12" s="286"/>
    </row>
    <row r="13" spans="1:34" s="4" customFormat="1" ht="12.75">
      <c r="A13" s="52" t="s">
        <v>371</v>
      </c>
      <c r="B13" s="52" t="s">
        <v>159</v>
      </c>
      <c r="C13" s="53">
        <v>56616.9</v>
      </c>
      <c r="D13" s="54">
        <v>53203.1</v>
      </c>
      <c r="E13" s="54">
        <v>53246.6</v>
      </c>
      <c r="F13" s="54">
        <v>52010.799999999996</v>
      </c>
      <c r="G13" s="53">
        <v>60234.40000000001</v>
      </c>
      <c r="H13" s="54">
        <v>60513.2</v>
      </c>
      <c r="I13" s="54">
        <v>65262.59999999999</v>
      </c>
      <c r="J13" s="55">
        <v>69610.5</v>
      </c>
      <c r="K13" s="53">
        <v>68205.8</v>
      </c>
      <c r="L13" s="54">
        <v>64516.5</v>
      </c>
      <c r="M13" s="54">
        <v>64256.4</v>
      </c>
      <c r="N13" s="55">
        <v>59883.399999999994</v>
      </c>
      <c r="O13" s="53">
        <v>62099.1</v>
      </c>
      <c r="P13" s="54">
        <v>61583</v>
      </c>
      <c r="Q13" s="54">
        <v>62165.50000000001</v>
      </c>
      <c r="R13" s="55">
        <v>64517.5</v>
      </c>
      <c r="S13" s="53">
        <v>65839.8</v>
      </c>
      <c r="T13" s="54">
        <v>67500.9</v>
      </c>
      <c r="U13" s="54">
        <v>73696.09999999999</v>
      </c>
      <c r="V13" s="55">
        <v>69723.4</v>
      </c>
      <c r="W13" s="53">
        <v>72263.09999999999</v>
      </c>
      <c r="X13" s="54">
        <v>70260.1</v>
      </c>
      <c r="Y13" s="54">
        <f>Bilans_BS!Y26</f>
        <v>73637.8</v>
      </c>
      <c r="Z13" s="55">
        <f>Bilans_BS!Z26</f>
        <v>78266.79999999999</v>
      </c>
      <c r="AA13" s="53">
        <f>Bilans_BS!AA26</f>
        <v>77753.80000000003</v>
      </c>
      <c r="AB13" s="54">
        <f>Bilans_BS!AB26</f>
        <v>81790.60000000002</v>
      </c>
      <c r="AC13" s="54">
        <f>Bilans_BS!AC26</f>
        <v>84639.49999999999</v>
      </c>
      <c r="AD13" s="55">
        <f>Bilans_BS!AD26</f>
        <v>86752.00000000001</v>
      </c>
      <c r="AE13" s="54">
        <f>Bilans_BS!AE26</f>
        <v>92244.69999999998</v>
      </c>
      <c r="AF13" s="54">
        <f>Bilans_BS!AF26</f>
        <v>98261.79999999997</v>
      </c>
      <c r="AG13" s="54">
        <f>Bilans_BS!AG26</f>
        <v>96848.5</v>
      </c>
      <c r="AH13" s="86"/>
    </row>
    <row r="14" spans="1:34" s="7" customFormat="1" ht="12.75">
      <c r="A14" s="38" t="s">
        <v>515</v>
      </c>
      <c r="B14" s="38" t="s">
        <v>407</v>
      </c>
      <c r="C14" s="39">
        <v>13782.6</v>
      </c>
      <c r="D14" s="40">
        <v>14567.2</v>
      </c>
      <c r="E14" s="40">
        <v>15449.399999999998</v>
      </c>
      <c r="F14" s="40">
        <v>16379.099999999997</v>
      </c>
      <c r="G14" s="39">
        <v>18039.899999999998</v>
      </c>
      <c r="H14" s="40">
        <v>20372</v>
      </c>
      <c r="I14" s="40">
        <v>21986.8</v>
      </c>
      <c r="J14" s="41">
        <v>24088.8</v>
      </c>
      <c r="K14" s="39">
        <v>25265.1</v>
      </c>
      <c r="L14" s="40">
        <v>25829.500000000004</v>
      </c>
      <c r="M14" s="40">
        <v>25701.1</v>
      </c>
      <c r="N14" s="41">
        <v>27330.899999999994</v>
      </c>
      <c r="O14" s="39">
        <v>27011.7</v>
      </c>
      <c r="P14" s="40">
        <v>28333.499999999996</v>
      </c>
      <c r="Q14" s="40">
        <v>29895.5</v>
      </c>
      <c r="R14" s="41">
        <v>31240.499999999993</v>
      </c>
      <c r="S14" s="39">
        <v>32116.800000000003</v>
      </c>
      <c r="T14" s="40">
        <v>33905.8</v>
      </c>
      <c r="U14" s="40">
        <v>36003.5</v>
      </c>
      <c r="V14" s="41">
        <v>38457.1</v>
      </c>
      <c r="W14" s="39">
        <v>44115.200000000004</v>
      </c>
      <c r="X14" s="40">
        <v>44732.399999999994</v>
      </c>
      <c r="Y14" s="40">
        <f>Bilans_BS!Y14-Kredyty_loans!Y11</f>
        <v>45542.6</v>
      </c>
      <c r="Z14" s="41">
        <f>Bilans_BS!Z14-Kredyty_loans!Z11</f>
        <v>45205.6</v>
      </c>
      <c r="AA14" s="39">
        <f>Bilans_BS!AA14-Kredyty_loans!AA11</f>
        <v>45301.60000000001</v>
      </c>
      <c r="AB14" s="40">
        <f>Bilans_BS!AB14-Kredyty_loans!AB11</f>
        <v>46678.200000000004</v>
      </c>
      <c r="AC14" s="40">
        <f>Bilans_BS!AC14-Kredyty_loans!AC11</f>
        <v>48382.1</v>
      </c>
      <c r="AD14" s="41">
        <f>Bilans_BS!AD14-Kredyty_loans!AD11</f>
        <v>48552.09999999999</v>
      </c>
      <c r="AE14" s="40">
        <f>Bilans_BS!AE14-Kredyty_loans!AE11</f>
        <v>50846.9</v>
      </c>
      <c r="AF14" s="40">
        <f>Bilans_BS!AF14-Kredyty_loans!AF11</f>
        <v>53595.499999999985</v>
      </c>
      <c r="AG14" s="40">
        <f>Bilans_BS!AG14-Kredyty_loans!AG11</f>
        <v>56418.5</v>
      </c>
      <c r="AH14" s="86"/>
    </row>
    <row r="15" spans="1:34" s="7" customFormat="1" ht="12.75">
      <c r="A15" s="56" t="s">
        <v>374</v>
      </c>
      <c r="B15" s="56" t="s">
        <v>408</v>
      </c>
      <c r="C15" s="57">
        <v>13453.900000000001</v>
      </c>
      <c r="D15" s="58">
        <v>14236.900000000001</v>
      </c>
      <c r="E15" s="58">
        <v>15148.799999999997</v>
      </c>
      <c r="F15" s="58">
        <v>16105.499999999998</v>
      </c>
      <c r="G15" s="57">
        <v>17758.9</v>
      </c>
      <c r="H15" s="58">
        <v>19270.100000000002</v>
      </c>
      <c r="I15" s="58">
        <v>21508.600000000002</v>
      </c>
      <c r="J15" s="59">
        <v>22999.3</v>
      </c>
      <c r="K15" s="57">
        <v>24044.800000000003</v>
      </c>
      <c r="L15" s="58">
        <v>24150.8</v>
      </c>
      <c r="M15" s="58">
        <v>24620.8</v>
      </c>
      <c r="N15" s="59">
        <v>25672.199999999997</v>
      </c>
      <c r="O15" s="57">
        <v>25854.600000000002</v>
      </c>
      <c r="P15" s="58">
        <v>27146.7</v>
      </c>
      <c r="Q15" s="58">
        <v>28447</v>
      </c>
      <c r="R15" s="59">
        <v>29797.6</v>
      </c>
      <c r="S15" s="57">
        <v>30639.1</v>
      </c>
      <c r="T15" s="58">
        <v>32353.4</v>
      </c>
      <c r="U15" s="58">
        <v>34102.799999999996</v>
      </c>
      <c r="V15" s="59">
        <v>35998</v>
      </c>
      <c r="W15" s="57">
        <v>36868.9</v>
      </c>
      <c r="X15" s="58">
        <v>37493.899999999994</v>
      </c>
      <c r="Y15" s="58">
        <f>Kredyty_loans!Y6+Kredyty_loans!Y16</f>
        <v>38132.799999999996</v>
      </c>
      <c r="Z15" s="59">
        <f>Kredyty_loans!Z6+Kredyty_loans!Z16</f>
        <v>37610.899999999994</v>
      </c>
      <c r="AA15" s="57">
        <f>Kredyty_loans!AA6+Kredyty_loans!AA16</f>
        <v>38281.9</v>
      </c>
      <c r="AB15" s="58">
        <f>Kredyty_loans!AB6+Kredyty_loans!AB16</f>
        <v>39094.30000000001</v>
      </c>
      <c r="AC15" s="58">
        <f>Kredyty_loans!AC6+Kredyty_loans!AC16</f>
        <v>40337.2</v>
      </c>
      <c r="AD15" s="59">
        <f>Kredyty_loans!AD6+Kredyty_loans!AD16</f>
        <v>40207.5</v>
      </c>
      <c r="AE15" s="58">
        <f>Kredyty_loans!AE6+Kredyty_loans!AE16</f>
        <v>42344</v>
      </c>
      <c r="AF15" s="58">
        <f>Kredyty_loans!AF6+Kredyty_loans!AF16</f>
        <v>44452.600000000006</v>
      </c>
      <c r="AG15" s="58">
        <f>Kredyty_loans!AG6+Kredyty_loans!AG16</f>
        <v>46076.1</v>
      </c>
      <c r="AH15" s="269"/>
    </row>
    <row r="16" spans="1:34" s="7" customFormat="1" ht="12.75">
      <c r="A16" s="56" t="s">
        <v>375</v>
      </c>
      <c r="B16" s="56" t="s">
        <v>409</v>
      </c>
      <c r="C16" s="57">
        <v>0</v>
      </c>
      <c r="D16" s="58">
        <v>0</v>
      </c>
      <c r="E16" s="58">
        <v>0</v>
      </c>
      <c r="F16" s="58">
        <v>0</v>
      </c>
      <c r="G16" s="57">
        <v>0</v>
      </c>
      <c r="H16" s="58">
        <v>0</v>
      </c>
      <c r="I16" s="58">
        <v>0</v>
      </c>
      <c r="J16" s="59">
        <v>0</v>
      </c>
      <c r="K16" s="57">
        <v>0</v>
      </c>
      <c r="L16" s="58">
        <v>0</v>
      </c>
      <c r="M16" s="58">
        <v>0</v>
      </c>
      <c r="N16" s="59">
        <v>0</v>
      </c>
      <c r="O16" s="57">
        <v>0</v>
      </c>
      <c r="P16" s="58">
        <v>0</v>
      </c>
      <c r="Q16" s="58">
        <v>0</v>
      </c>
      <c r="R16" s="59">
        <v>0</v>
      </c>
      <c r="S16" s="57">
        <v>0</v>
      </c>
      <c r="T16" s="58">
        <v>0</v>
      </c>
      <c r="U16" s="58">
        <v>0</v>
      </c>
      <c r="V16" s="59">
        <v>0</v>
      </c>
      <c r="W16" s="57">
        <v>3045.6000000000004</v>
      </c>
      <c r="X16" s="58">
        <v>3084.3999999999996</v>
      </c>
      <c r="Y16" s="58">
        <f>Kredyty_loans!Y7+Kredyty_loans!Y17</f>
        <v>3067.2</v>
      </c>
      <c r="Z16" s="59">
        <f>Kredyty_loans!Z7+Kredyty_loans!Z17</f>
        <v>3164.5</v>
      </c>
      <c r="AA16" s="57">
        <f>Kredyty_loans!AA7+Kredyty_loans!AA17</f>
        <v>3188.4</v>
      </c>
      <c r="AB16" s="58">
        <f>Kredyty_loans!AB7+Kredyty_loans!AB17</f>
        <v>3322.4</v>
      </c>
      <c r="AC16" s="58">
        <f>Kredyty_loans!AC7+Kredyty_loans!AC17</f>
        <v>3472.2</v>
      </c>
      <c r="AD16" s="59">
        <f>Kredyty_loans!AD7+Kredyty_loans!AD17</f>
        <v>3590.8</v>
      </c>
      <c r="AE16" s="58">
        <f>Kredyty_loans!AE7+Kredyty_loans!AE17</f>
        <v>3774.3</v>
      </c>
      <c r="AF16" s="58">
        <f>Kredyty_loans!AF7+Kredyty_loans!AF17</f>
        <v>4162.099999999999</v>
      </c>
      <c r="AG16" s="58">
        <f>Kredyty_loans!AG7+Kredyty_loans!AG17</f>
        <v>4244.1</v>
      </c>
      <c r="AH16" s="269"/>
    </row>
    <row r="17" spans="1:34" s="7" customFormat="1" ht="12.75">
      <c r="A17" s="56" t="s">
        <v>376</v>
      </c>
      <c r="B17" s="56" t="s">
        <v>410</v>
      </c>
      <c r="C17" s="57">
        <v>148.70000000000002</v>
      </c>
      <c r="D17" s="58">
        <v>148.10000000000002</v>
      </c>
      <c r="E17" s="58">
        <v>125.5</v>
      </c>
      <c r="F17" s="58">
        <v>128.6</v>
      </c>
      <c r="G17" s="57">
        <v>130.5</v>
      </c>
      <c r="H17" s="58">
        <v>136</v>
      </c>
      <c r="I17" s="58">
        <v>178.20000000000002</v>
      </c>
      <c r="J17" s="59">
        <v>164.6</v>
      </c>
      <c r="K17" s="57">
        <v>270.09999999999997</v>
      </c>
      <c r="L17" s="58">
        <v>252.7</v>
      </c>
      <c r="M17" s="58">
        <v>175.6</v>
      </c>
      <c r="N17" s="59">
        <v>173.1</v>
      </c>
      <c r="O17" s="57">
        <v>142.40000000000003</v>
      </c>
      <c r="P17" s="58">
        <v>171.1</v>
      </c>
      <c r="Q17" s="58">
        <v>165</v>
      </c>
      <c r="R17" s="59">
        <v>122.70000000000002</v>
      </c>
      <c r="S17" s="57">
        <v>108.4</v>
      </c>
      <c r="T17" s="58">
        <v>196.29999999999998</v>
      </c>
      <c r="U17" s="58">
        <v>279.90000000000003</v>
      </c>
      <c r="V17" s="59">
        <v>272.40000000000003</v>
      </c>
      <c r="W17" s="57">
        <v>1852.5</v>
      </c>
      <c r="X17" s="58">
        <v>2094.2000000000003</v>
      </c>
      <c r="Y17" s="58">
        <f>Kredyty_loans!Y8+Kredyty_loans!Y18</f>
        <v>2022.6000000000001</v>
      </c>
      <c r="Z17" s="59">
        <f>Kredyty_loans!Z8+Kredyty_loans!Z18</f>
        <v>2202.7</v>
      </c>
      <c r="AA17" s="57">
        <f>Kredyty_loans!AA8+Kredyty_loans!AA18</f>
        <v>1958.3</v>
      </c>
      <c r="AB17" s="58">
        <f>Kredyty_loans!AB8+Kredyty_loans!AB18</f>
        <v>2223.0000000000005</v>
      </c>
      <c r="AC17" s="58">
        <f>Kredyty_loans!AC8+Kredyty_loans!AC18</f>
        <v>2442.7999999999993</v>
      </c>
      <c r="AD17" s="59">
        <f>Kredyty_loans!AD8+Kredyty_loans!AD18</f>
        <v>2453.7999999999997</v>
      </c>
      <c r="AE17" s="58">
        <f>Kredyty_loans!AE8+Kredyty_loans!AE18</f>
        <v>2361.2</v>
      </c>
      <c r="AF17" s="58">
        <f>Kredyty_loans!AF8+Kredyty_loans!AF18</f>
        <v>2621.0000000000005</v>
      </c>
      <c r="AG17" s="58">
        <f>Kredyty_loans!AG8+Kredyty_loans!AG18</f>
        <v>2868.7</v>
      </c>
      <c r="AH17" s="269"/>
    </row>
    <row r="18" spans="1:34" s="9" customFormat="1" ht="12.75">
      <c r="A18" s="38" t="s">
        <v>338</v>
      </c>
      <c r="B18" s="38" t="s">
        <v>145</v>
      </c>
      <c r="C18" s="39">
        <v>40774.6</v>
      </c>
      <c r="D18" s="40">
        <v>40253.4</v>
      </c>
      <c r="E18" s="40">
        <v>40658.1</v>
      </c>
      <c r="F18" s="40">
        <v>44501.8</v>
      </c>
      <c r="G18" s="39">
        <v>45311.8</v>
      </c>
      <c r="H18" s="40">
        <v>47591</v>
      </c>
      <c r="I18" s="40">
        <v>51269</v>
      </c>
      <c r="J18" s="41">
        <v>47066.9</v>
      </c>
      <c r="K18" s="39">
        <v>46461.8</v>
      </c>
      <c r="L18" s="40">
        <v>45732.4</v>
      </c>
      <c r="M18" s="40">
        <v>46480.8</v>
      </c>
      <c r="N18" s="41">
        <v>47584.7</v>
      </c>
      <c r="O18" s="39">
        <v>46184.2</v>
      </c>
      <c r="P18" s="40">
        <v>45954.2</v>
      </c>
      <c r="Q18" s="40">
        <v>47667.9</v>
      </c>
      <c r="R18" s="41">
        <v>47400.1</v>
      </c>
      <c r="S18" s="39">
        <v>46462</v>
      </c>
      <c r="T18" s="40">
        <v>48286.1</v>
      </c>
      <c r="U18" s="40">
        <v>50758.7</v>
      </c>
      <c r="V18" s="41">
        <v>52932.09999999999</v>
      </c>
      <c r="W18" s="39">
        <v>52439.899999999994</v>
      </c>
      <c r="X18" s="40">
        <v>54157.00000000001</v>
      </c>
      <c r="Y18" s="40">
        <f>Bilans_BS!Y35</f>
        <v>54862.7</v>
      </c>
      <c r="Z18" s="41">
        <f>Bilans_BS!Z35</f>
        <v>57857.5</v>
      </c>
      <c r="AA18" s="39">
        <f>Bilans_BS!AA35</f>
        <v>58049.7</v>
      </c>
      <c r="AB18" s="40">
        <f>Bilans_BS!AB35</f>
        <v>61948.700000000004</v>
      </c>
      <c r="AC18" s="40">
        <f>Bilans_BS!AC35</f>
        <v>66191.70000000001</v>
      </c>
      <c r="AD18" s="41">
        <f>Bilans_BS!AD35</f>
        <v>67330.4</v>
      </c>
      <c r="AE18" s="40">
        <f>Bilans_BS!AE35</f>
        <v>66901.90000000001</v>
      </c>
      <c r="AF18" s="40">
        <f>Bilans_BS!AF35</f>
        <v>69585.4</v>
      </c>
      <c r="AG18" s="40">
        <f>Bilans_BS!AG35</f>
        <v>71486.6</v>
      </c>
      <c r="AH18" s="86"/>
    </row>
    <row r="19" spans="1:34" s="9" customFormat="1" ht="12.75">
      <c r="A19" s="38" t="s">
        <v>377</v>
      </c>
      <c r="B19" s="38" t="s">
        <v>411</v>
      </c>
      <c r="C19" s="39">
        <v>3902.2999999999993</v>
      </c>
      <c r="D19" s="40">
        <v>3622</v>
      </c>
      <c r="E19" s="40">
        <v>3820.3999999999996</v>
      </c>
      <c r="F19" s="40">
        <v>3838.7999999999997</v>
      </c>
      <c r="G19" s="39">
        <v>4013.7</v>
      </c>
      <c r="H19" s="40">
        <v>3977.5999999999995</v>
      </c>
      <c r="I19" s="40">
        <v>4277.9</v>
      </c>
      <c r="J19" s="41">
        <v>4222.2</v>
      </c>
      <c r="K19" s="39">
        <v>4280.9</v>
      </c>
      <c r="L19" s="40">
        <v>4514.6</v>
      </c>
      <c r="M19" s="40">
        <v>4742.1</v>
      </c>
      <c r="N19" s="41">
        <v>4884.4</v>
      </c>
      <c r="O19" s="39">
        <v>5131.7</v>
      </c>
      <c r="P19" s="40">
        <v>5280.2</v>
      </c>
      <c r="Q19" s="40">
        <v>5529.5</v>
      </c>
      <c r="R19" s="41">
        <v>5650.799999999999</v>
      </c>
      <c r="S19" s="39">
        <v>5782</v>
      </c>
      <c r="T19" s="40">
        <v>5951.5</v>
      </c>
      <c r="U19" s="40">
        <v>6194.599999999999</v>
      </c>
      <c r="V19" s="41">
        <v>6413.7</v>
      </c>
      <c r="W19" s="39">
        <v>6751.1</v>
      </c>
      <c r="X19" s="40">
        <v>6978.8</v>
      </c>
      <c r="Y19" s="40">
        <f>Bilans_BS!Y54</f>
        <v>7424.9</v>
      </c>
      <c r="Z19" s="41">
        <f>Bilans_BS!Z54</f>
        <v>8133.799999999999</v>
      </c>
      <c r="AA19" s="39">
        <f>Bilans_BS!AA54</f>
        <v>8236.5</v>
      </c>
      <c r="AB19" s="40">
        <f>Bilans_BS!AB54</f>
        <v>8131.2</v>
      </c>
      <c r="AC19" s="40">
        <f>Bilans_BS!AC54</f>
        <v>8269.2</v>
      </c>
      <c r="AD19" s="41">
        <f>Bilans_BS!AD54</f>
        <v>8626.3</v>
      </c>
      <c r="AE19" s="40">
        <f>Bilans_BS!AE54</f>
        <v>8885.599999999999</v>
      </c>
      <c r="AF19" s="40">
        <f>Bilans_BS!AF54</f>
        <v>9158.699999999999</v>
      </c>
      <c r="AG19" s="40">
        <f>Bilans_BS!AG54</f>
        <v>9931.599999999999</v>
      </c>
      <c r="AH19" s="86"/>
    </row>
    <row r="20" spans="1:34" s="9" customFormat="1" ht="12.75">
      <c r="A20" s="38"/>
      <c r="B20" s="38"/>
      <c r="C20" s="60"/>
      <c r="D20" s="61"/>
      <c r="E20" s="61"/>
      <c r="F20" s="61"/>
      <c r="G20" s="60"/>
      <c r="H20" s="61"/>
      <c r="I20" s="61"/>
      <c r="J20" s="62"/>
      <c r="K20" s="60"/>
      <c r="L20" s="61"/>
      <c r="M20" s="61"/>
      <c r="N20" s="62"/>
      <c r="O20" s="60"/>
      <c r="P20" s="61"/>
      <c r="Q20" s="61"/>
      <c r="R20" s="62"/>
      <c r="S20" s="60"/>
      <c r="T20" s="61"/>
      <c r="U20" s="61"/>
      <c r="V20" s="62"/>
      <c r="W20" s="60"/>
      <c r="X20" s="61"/>
      <c r="Y20" s="61"/>
      <c r="Z20" s="62"/>
      <c r="AA20" s="60"/>
      <c r="AB20" s="61"/>
      <c r="AC20" s="61"/>
      <c r="AD20" s="62"/>
      <c r="AE20" s="61"/>
      <c r="AF20" s="61"/>
      <c r="AG20" s="61"/>
      <c r="AH20" s="287"/>
    </row>
    <row r="21" spans="1:34" s="9" customFormat="1" ht="12.75">
      <c r="A21" s="38" t="s">
        <v>699</v>
      </c>
      <c r="B21" s="38" t="s">
        <v>700</v>
      </c>
      <c r="C21" s="63">
        <v>0.1374</v>
      </c>
      <c r="D21" s="64">
        <v>0.1341</v>
      </c>
      <c r="E21" s="64">
        <v>0.1305</v>
      </c>
      <c r="F21" s="64">
        <v>0.1312</v>
      </c>
      <c r="G21" s="63">
        <v>0.1102</v>
      </c>
      <c r="H21" s="64">
        <v>0.1122</v>
      </c>
      <c r="I21" s="64">
        <v>0.119</v>
      </c>
      <c r="J21" s="65">
        <v>0.1039</v>
      </c>
      <c r="K21" s="63">
        <v>0.101</v>
      </c>
      <c r="L21" s="64">
        <v>0.1087</v>
      </c>
      <c r="M21" s="64">
        <v>0.1207</v>
      </c>
      <c r="N21" s="65">
        <v>0.1201</v>
      </c>
      <c r="O21" s="63">
        <v>0.13</v>
      </c>
      <c r="P21" s="64">
        <v>0.1256</v>
      </c>
      <c r="Q21" s="64">
        <v>0.133</v>
      </c>
      <c r="R21" s="65">
        <v>0.1315</v>
      </c>
      <c r="S21" s="63">
        <v>0.1274</v>
      </c>
      <c r="T21" s="64">
        <v>0.1261</v>
      </c>
      <c r="U21" s="64">
        <v>0.1256</v>
      </c>
      <c r="V21" s="65">
        <v>0.1192</v>
      </c>
      <c r="W21" s="63">
        <v>0.1211</v>
      </c>
      <c r="X21" s="61">
        <v>0.1298</v>
      </c>
      <c r="Y21" s="61">
        <f>'Łączny współ kap_TCR_GROUP'!Y75</f>
        <v>0.1367</v>
      </c>
      <c r="Z21" s="62">
        <f>'Łączny współ kap_TCR_GROUP'!Z75</f>
        <v>0.1455</v>
      </c>
      <c r="AA21" s="63">
        <f>'Łączny współ kap_TCR_GROUP'!AA75</f>
        <v>0.1515</v>
      </c>
      <c r="AB21" s="61">
        <f>'Łączny współ kap_TCR_GROUP'!AB75</f>
        <v>0.1583</v>
      </c>
      <c r="AC21" s="61">
        <f>'Łączny współ kap_TCR_GROUP'!AC75</f>
        <v>0.1739</v>
      </c>
      <c r="AD21" s="62">
        <f>'Łączny współ kap_TCR_GROUP'!AD75</f>
        <v>0.1728</v>
      </c>
      <c r="AE21" s="61">
        <f>'Łączny współ kap_TCR_GROUP'!AE75</f>
        <v>0.1457</v>
      </c>
      <c r="AF21" s="61">
        <f>'Łączny współ kap_TCR_GROUP'!AF75</f>
        <v>0.1504</v>
      </c>
      <c r="AG21" s="61">
        <f>'Łączny współ kap_TCR_GROUP'!AG75</f>
        <v>0.1418</v>
      </c>
      <c r="AH21" s="287"/>
    </row>
    <row r="22" spans="1:34" s="258" customFormat="1" ht="12.75" customHeight="1" hidden="1">
      <c r="A22" s="252"/>
      <c r="B22" s="252"/>
      <c r="C22" s="253"/>
      <c r="D22" s="254"/>
      <c r="E22" s="254"/>
      <c r="F22" s="254"/>
      <c r="G22" s="253"/>
      <c r="H22" s="254"/>
      <c r="I22" s="254"/>
      <c r="J22" s="255"/>
      <c r="K22" s="253"/>
      <c r="L22" s="254"/>
      <c r="M22" s="254"/>
      <c r="N22" s="255"/>
      <c r="O22" s="253"/>
      <c r="P22" s="254"/>
      <c r="Q22" s="254"/>
      <c r="R22" s="255"/>
      <c r="S22" s="253"/>
      <c r="T22" s="254"/>
      <c r="U22" s="254"/>
      <c r="V22" s="255"/>
      <c r="W22" s="253"/>
      <c r="X22" s="256"/>
      <c r="Y22" s="256"/>
      <c r="Z22" s="257"/>
      <c r="AA22" s="253"/>
      <c r="AB22" s="256"/>
      <c r="AC22" s="256"/>
      <c r="AD22" s="257"/>
      <c r="AE22" s="254"/>
      <c r="AF22" s="254"/>
      <c r="AG22" s="254"/>
      <c r="AH22" s="288"/>
    </row>
    <row r="23" spans="1:34" s="258" customFormat="1" ht="12.75" customHeight="1" hidden="1">
      <c r="A23" s="252"/>
      <c r="B23" s="252"/>
      <c r="C23" s="253"/>
      <c r="D23" s="254"/>
      <c r="E23" s="254"/>
      <c r="F23" s="254"/>
      <c r="G23" s="253"/>
      <c r="H23" s="254"/>
      <c r="I23" s="254"/>
      <c r="J23" s="255"/>
      <c r="K23" s="253"/>
      <c r="L23" s="254"/>
      <c r="M23" s="254"/>
      <c r="N23" s="255"/>
      <c r="O23" s="253"/>
      <c r="P23" s="254"/>
      <c r="Q23" s="254"/>
      <c r="R23" s="255"/>
      <c r="S23" s="253"/>
      <c r="T23" s="254"/>
      <c r="U23" s="254"/>
      <c r="V23" s="255"/>
      <c r="W23" s="253"/>
      <c r="X23" s="256"/>
      <c r="Y23" s="256"/>
      <c r="Z23" s="257"/>
      <c r="AA23" s="253"/>
      <c r="AB23" s="256"/>
      <c r="AC23" s="256"/>
      <c r="AD23" s="257"/>
      <c r="AE23" s="254"/>
      <c r="AF23" s="254"/>
      <c r="AG23" s="254"/>
      <c r="AH23" s="288"/>
    </row>
    <row r="24" spans="1:34" s="9" customFormat="1" ht="12.75" customHeight="1" hidden="1">
      <c r="A24" s="38"/>
      <c r="B24" s="38"/>
      <c r="C24" s="60"/>
      <c r="D24" s="61"/>
      <c r="E24" s="61"/>
      <c r="F24" s="61"/>
      <c r="G24" s="60"/>
      <c r="H24" s="61"/>
      <c r="I24" s="61"/>
      <c r="J24" s="62"/>
      <c r="K24" s="60"/>
      <c r="L24" s="61"/>
      <c r="M24" s="61"/>
      <c r="N24" s="62"/>
      <c r="O24" s="60"/>
      <c r="P24" s="61"/>
      <c r="Q24" s="61"/>
      <c r="R24" s="62"/>
      <c r="S24" s="60"/>
      <c r="T24" s="61"/>
      <c r="U24" s="61"/>
      <c r="V24" s="62"/>
      <c r="W24" s="60"/>
      <c r="X24" s="61"/>
      <c r="Y24" s="61"/>
      <c r="Z24" s="62"/>
      <c r="AA24" s="60"/>
      <c r="AB24" s="61"/>
      <c r="AC24" s="61"/>
      <c r="AD24" s="62"/>
      <c r="AE24" s="61"/>
      <c r="AF24" s="61"/>
      <c r="AG24" s="61"/>
      <c r="AH24" s="287"/>
    </row>
    <row r="25" spans="1:34" s="9" customFormat="1" ht="12.75">
      <c r="A25" s="38" t="s">
        <v>701</v>
      </c>
      <c r="B25" s="38" t="s">
        <v>702</v>
      </c>
      <c r="C25" s="60">
        <v>0.1318</v>
      </c>
      <c r="D25" s="61">
        <v>0.1255</v>
      </c>
      <c r="E25" s="61">
        <v>0.1217</v>
      </c>
      <c r="F25" s="61">
        <v>0.1203</v>
      </c>
      <c r="G25" s="60">
        <v>0.1025</v>
      </c>
      <c r="H25" s="61">
        <v>0.1033</v>
      </c>
      <c r="I25" s="61">
        <v>0.1131</v>
      </c>
      <c r="J25" s="62">
        <v>0.0983</v>
      </c>
      <c r="K25" s="60">
        <v>0.0939</v>
      </c>
      <c r="L25" s="61">
        <v>0.0993</v>
      </c>
      <c r="M25" s="61">
        <v>0.1121</v>
      </c>
      <c r="N25" s="62">
        <v>0.1124</v>
      </c>
      <c r="O25" s="60">
        <v>0.1218</v>
      </c>
      <c r="P25" s="61">
        <v>0.1159</v>
      </c>
      <c r="Q25" s="61">
        <v>0.1236</v>
      </c>
      <c r="R25" s="62">
        <v>0.122</v>
      </c>
      <c r="S25" s="60">
        <v>0.1173</v>
      </c>
      <c r="T25" s="61">
        <v>0.1161</v>
      </c>
      <c r="U25" s="61">
        <v>0.1178</v>
      </c>
      <c r="V25" s="62">
        <v>0.1158</v>
      </c>
      <c r="W25" s="60">
        <v>0.1157</v>
      </c>
      <c r="X25" s="61">
        <v>0.124</v>
      </c>
      <c r="Y25" s="61">
        <v>0.1309</v>
      </c>
      <c r="Z25" s="62">
        <v>0.14</v>
      </c>
      <c r="AA25" s="60">
        <v>0.1441</v>
      </c>
      <c r="AB25" s="61">
        <v>0.1525</v>
      </c>
      <c r="AC25" s="61">
        <v>0.1733</v>
      </c>
      <c r="AD25" s="62">
        <v>0.171</v>
      </c>
      <c r="AE25" s="61">
        <v>0.153</v>
      </c>
      <c r="AF25" s="61">
        <v>0.157</v>
      </c>
      <c r="AG25" s="61">
        <v>0.1531</v>
      </c>
      <c r="AH25" s="287"/>
    </row>
    <row r="26" spans="1:34" s="258" customFormat="1" ht="12.75" customHeight="1" hidden="1">
      <c r="A26" s="252"/>
      <c r="B26" s="252"/>
      <c r="C26" s="253"/>
      <c r="D26" s="254"/>
      <c r="E26" s="254"/>
      <c r="F26" s="254"/>
      <c r="G26" s="253"/>
      <c r="H26" s="254"/>
      <c r="I26" s="254"/>
      <c r="J26" s="255"/>
      <c r="K26" s="253"/>
      <c r="L26" s="254"/>
      <c r="M26" s="254"/>
      <c r="N26" s="255"/>
      <c r="O26" s="253"/>
      <c r="P26" s="254"/>
      <c r="Q26" s="254"/>
      <c r="R26" s="255"/>
      <c r="S26" s="253"/>
      <c r="T26" s="254"/>
      <c r="U26" s="254"/>
      <c r="V26" s="255"/>
      <c r="W26" s="253"/>
      <c r="X26" s="256"/>
      <c r="Y26" s="256"/>
      <c r="Z26" s="257"/>
      <c r="AA26" s="253"/>
      <c r="AB26" s="256"/>
      <c r="AC26" s="256"/>
      <c r="AD26" s="257"/>
      <c r="AE26" s="254"/>
      <c r="AF26" s="254"/>
      <c r="AG26" s="254"/>
      <c r="AH26" s="288"/>
    </row>
    <row r="27" spans="1:34" s="258" customFormat="1" ht="12.75" customHeight="1" hidden="1">
      <c r="A27" s="252"/>
      <c r="B27" s="252"/>
      <c r="C27" s="253"/>
      <c r="D27" s="254"/>
      <c r="E27" s="254"/>
      <c r="F27" s="254"/>
      <c r="G27" s="253"/>
      <c r="H27" s="254"/>
      <c r="I27" s="254"/>
      <c r="J27" s="255"/>
      <c r="K27" s="253"/>
      <c r="L27" s="254"/>
      <c r="M27" s="254"/>
      <c r="N27" s="255"/>
      <c r="O27" s="253"/>
      <c r="P27" s="254"/>
      <c r="Q27" s="254"/>
      <c r="R27" s="255"/>
      <c r="S27" s="253"/>
      <c r="T27" s="254"/>
      <c r="U27" s="254"/>
      <c r="V27" s="255"/>
      <c r="W27" s="253"/>
      <c r="X27" s="256"/>
      <c r="Y27" s="256"/>
      <c r="Z27" s="257"/>
      <c r="AA27" s="253"/>
      <c r="AB27" s="256"/>
      <c r="AC27" s="256"/>
      <c r="AD27" s="257"/>
      <c r="AE27" s="254"/>
      <c r="AF27" s="254"/>
      <c r="AG27" s="254"/>
      <c r="AH27" s="288"/>
    </row>
    <row r="28" spans="1:34" s="9" customFormat="1" ht="12.75">
      <c r="A28" s="38"/>
      <c r="B28" s="38"/>
      <c r="C28" s="26"/>
      <c r="D28" s="27"/>
      <c r="E28" s="27"/>
      <c r="F28" s="27"/>
      <c r="G28" s="26"/>
      <c r="H28" s="27"/>
      <c r="I28" s="27"/>
      <c r="J28" s="28"/>
      <c r="K28" s="26"/>
      <c r="L28" s="27"/>
      <c r="M28" s="27"/>
      <c r="N28" s="28"/>
      <c r="O28" s="26"/>
      <c r="P28" s="27"/>
      <c r="Q28" s="27"/>
      <c r="R28" s="28"/>
      <c r="S28" s="26"/>
      <c r="T28" s="27"/>
      <c r="U28" s="27"/>
      <c r="V28" s="28"/>
      <c r="W28" s="26"/>
      <c r="X28" s="27"/>
      <c r="Y28" s="27"/>
      <c r="Z28" s="28"/>
      <c r="AA28" s="26"/>
      <c r="AB28" s="27"/>
      <c r="AC28" s="27"/>
      <c r="AD28" s="28"/>
      <c r="AE28" s="27"/>
      <c r="AF28" s="27"/>
      <c r="AG28" s="27"/>
      <c r="AH28" s="84"/>
    </row>
    <row r="29" spans="1:34" s="9" customFormat="1" ht="12.75">
      <c r="A29" s="37" t="s">
        <v>378</v>
      </c>
      <c r="B29" s="37" t="s">
        <v>166</v>
      </c>
      <c r="C29" s="26"/>
      <c r="D29" s="27"/>
      <c r="E29" s="27"/>
      <c r="F29" s="27"/>
      <c r="G29" s="26"/>
      <c r="H29" s="27"/>
      <c r="I29" s="27"/>
      <c r="J29" s="28"/>
      <c r="K29" s="26"/>
      <c r="L29" s="27"/>
      <c r="M29" s="27"/>
      <c r="N29" s="28"/>
      <c r="O29" s="26"/>
      <c r="P29" s="27"/>
      <c r="Q29" s="27"/>
      <c r="R29" s="28"/>
      <c r="S29" s="26"/>
      <c r="T29" s="27"/>
      <c r="U29" s="27"/>
      <c r="V29" s="28"/>
      <c r="W29" s="26"/>
      <c r="X29" s="27"/>
      <c r="Y29" s="27"/>
      <c r="Z29" s="28"/>
      <c r="AA29" s="26"/>
      <c r="AB29" s="27"/>
      <c r="AC29" s="27"/>
      <c r="AD29" s="28"/>
      <c r="AE29" s="27"/>
      <c r="AF29" s="27"/>
      <c r="AG29" s="27"/>
      <c r="AH29" s="84"/>
    </row>
    <row r="30" spans="1:34" s="9" customFormat="1" ht="12.75">
      <c r="A30" s="38" t="s">
        <v>368</v>
      </c>
      <c r="B30" s="38" t="s">
        <v>412</v>
      </c>
      <c r="C30" s="67">
        <v>1.3</v>
      </c>
      <c r="D30" s="68">
        <v>1.2</v>
      </c>
      <c r="E30" s="68">
        <v>1.2</v>
      </c>
      <c r="F30" s="68">
        <v>1.2</v>
      </c>
      <c r="G30" s="67">
        <v>1.2</v>
      </c>
      <c r="H30" s="68">
        <v>1.3</v>
      </c>
      <c r="I30" s="68">
        <v>1.2</v>
      </c>
      <c r="J30" s="69">
        <v>0.7</v>
      </c>
      <c r="K30" s="67">
        <v>0.5</v>
      </c>
      <c r="L30" s="68">
        <v>0.5</v>
      </c>
      <c r="M30" s="68">
        <v>0.5</v>
      </c>
      <c r="N30" s="69">
        <v>0.9</v>
      </c>
      <c r="O30" s="67">
        <v>1.1</v>
      </c>
      <c r="P30" s="68">
        <v>1.1</v>
      </c>
      <c r="Q30" s="68">
        <v>1.1</v>
      </c>
      <c r="R30" s="69">
        <v>1.2</v>
      </c>
      <c r="S30" s="67">
        <v>1.2</v>
      </c>
      <c r="T30" s="68">
        <v>1.3</v>
      </c>
      <c r="U30" s="68">
        <v>1.3</v>
      </c>
      <c r="V30" s="69">
        <v>1.3</v>
      </c>
      <c r="W30" s="67">
        <v>1.3</v>
      </c>
      <c r="X30" s="68">
        <v>1.2</v>
      </c>
      <c r="Y30" s="68">
        <v>1.2</v>
      </c>
      <c r="Z30" s="41">
        <v>1.1</v>
      </c>
      <c r="AA30" s="67">
        <v>1.1</v>
      </c>
      <c r="AB30" s="68">
        <v>1.1</v>
      </c>
      <c r="AC30" s="68">
        <v>1.1</v>
      </c>
      <c r="AD30" s="41">
        <v>1.2</v>
      </c>
      <c r="AE30" s="40">
        <v>1.1</v>
      </c>
      <c r="AF30" s="40">
        <v>1.2</v>
      </c>
      <c r="AG30" s="40">
        <v>1.2</v>
      </c>
      <c r="AH30" s="86"/>
    </row>
    <row r="31" spans="1:34" s="9" customFormat="1" ht="12.75">
      <c r="A31" s="38" t="s">
        <v>369</v>
      </c>
      <c r="B31" s="38" t="s">
        <v>160</v>
      </c>
      <c r="C31" s="67">
        <v>16.3</v>
      </c>
      <c r="D31" s="68">
        <v>16.3</v>
      </c>
      <c r="E31" s="68">
        <v>17</v>
      </c>
      <c r="F31" s="68">
        <v>16.7</v>
      </c>
      <c r="G31" s="67">
        <v>16.6</v>
      </c>
      <c r="H31" s="68">
        <v>18.2</v>
      </c>
      <c r="I31" s="68">
        <v>16.9</v>
      </c>
      <c r="J31" s="69">
        <v>11</v>
      </c>
      <c r="K31" s="67">
        <v>8.5</v>
      </c>
      <c r="L31" s="68">
        <v>7.1</v>
      </c>
      <c r="M31" s="68">
        <v>7.8</v>
      </c>
      <c r="N31" s="69">
        <v>13.1</v>
      </c>
      <c r="O31" s="67">
        <v>14.7</v>
      </c>
      <c r="P31" s="68">
        <v>14.3</v>
      </c>
      <c r="Q31" s="68">
        <v>13.3</v>
      </c>
      <c r="R31" s="69">
        <v>14.2</v>
      </c>
      <c r="S31" s="67">
        <v>14.4</v>
      </c>
      <c r="T31" s="68">
        <v>14.7</v>
      </c>
      <c r="U31" s="68">
        <v>14.7</v>
      </c>
      <c r="V31" s="69">
        <v>14.7</v>
      </c>
      <c r="W31" s="67">
        <v>15.1</v>
      </c>
      <c r="X31" s="68">
        <v>13.5</v>
      </c>
      <c r="Y31" s="68">
        <v>12.7</v>
      </c>
      <c r="Z31" s="41">
        <v>11.7</v>
      </c>
      <c r="AA31" s="67">
        <v>10.9</v>
      </c>
      <c r="AB31" s="68">
        <v>11.2</v>
      </c>
      <c r="AC31" s="68">
        <v>11.2</v>
      </c>
      <c r="AD31" s="41">
        <v>11.6</v>
      </c>
      <c r="AE31" s="40">
        <v>11.3</v>
      </c>
      <c r="AF31" s="40">
        <v>11.9</v>
      </c>
      <c r="AG31" s="40">
        <v>11.8</v>
      </c>
      <c r="AH31" s="86"/>
    </row>
    <row r="32" spans="1:34" s="9" customFormat="1" ht="12.75">
      <c r="A32" s="70" t="s">
        <v>370</v>
      </c>
      <c r="B32" s="70" t="s">
        <v>161</v>
      </c>
      <c r="C32" s="71">
        <f>+C7/C6*100</f>
        <v>62.33308605341246</v>
      </c>
      <c r="D32" s="72">
        <f aca="true" t="shared" si="0" ref="D32:AB32">ROUND(D7/D6*100,1)</f>
        <v>66.1</v>
      </c>
      <c r="E32" s="72">
        <f t="shared" si="0"/>
        <v>65.8</v>
      </c>
      <c r="F32" s="72">
        <f t="shared" si="0"/>
        <v>75</v>
      </c>
      <c r="G32" s="71">
        <f t="shared" si="0"/>
        <v>63.1</v>
      </c>
      <c r="H32" s="72">
        <f t="shared" si="0"/>
        <v>62.3</v>
      </c>
      <c r="I32" s="72">
        <f t="shared" si="0"/>
        <v>65.7</v>
      </c>
      <c r="J32" s="73">
        <f t="shared" si="0"/>
        <v>111.4</v>
      </c>
      <c r="K32" s="71">
        <f t="shared" si="0"/>
        <v>65.3</v>
      </c>
      <c r="L32" s="72">
        <f t="shared" si="0"/>
        <v>56.1</v>
      </c>
      <c r="M32" s="72">
        <f t="shared" si="0"/>
        <v>56.1</v>
      </c>
      <c r="N32" s="73">
        <f t="shared" si="0"/>
        <v>60.2</v>
      </c>
      <c r="O32" s="71">
        <f t="shared" si="0"/>
        <v>59.6</v>
      </c>
      <c r="P32" s="72">
        <f t="shared" si="0"/>
        <v>59.6</v>
      </c>
      <c r="Q32" s="72">
        <f t="shared" si="0"/>
        <v>58.5</v>
      </c>
      <c r="R32" s="73">
        <f t="shared" si="0"/>
        <v>56.7</v>
      </c>
      <c r="S32" s="71">
        <f t="shared" si="0"/>
        <v>56.3</v>
      </c>
      <c r="T32" s="72">
        <f t="shared" si="0"/>
        <v>56.9</v>
      </c>
      <c r="U32" s="72">
        <f t="shared" si="0"/>
        <v>58.7</v>
      </c>
      <c r="V32" s="73">
        <f t="shared" si="0"/>
        <v>55.7</v>
      </c>
      <c r="W32" s="71">
        <f t="shared" si="0"/>
        <v>55.4</v>
      </c>
      <c r="X32" s="72">
        <f t="shared" si="0"/>
        <v>57.9</v>
      </c>
      <c r="Y32" s="72">
        <f t="shared" si="0"/>
        <v>58.2</v>
      </c>
      <c r="Z32" s="73">
        <f t="shared" si="0"/>
        <v>58.7</v>
      </c>
      <c r="AA32" s="71">
        <f t="shared" si="0"/>
        <v>55.8</v>
      </c>
      <c r="AB32" s="72">
        <f t="shared" si="0"/>
        <v>58.6</v>
      </c>
      <c r="AC32" s="72">
        <f>ROUND(AC7/AC6*100,1)</f>
        <v>56.6</v>
      </c>
      <c r="AD32" s="73">
        <f>ROUND(AD7/AD6*100,1)</f>
        <v>53.7</v>
      </c>
      <c r="AE32" s="40">
        <f>ROUND(AE7/AE6*100,1)</f>
        <v>53.3</v>
      </c>
      <c r="AF32" s="40">
        <f>ROUND(AF7/AF6*100,1)</f>
        <v>53.5</v>
      </c>
      <c r="AG32" s="40">
        <f>ROUND(AG7/AG6*100,1)</f>
        <v>54.6</v>
      </c>
      <c r="AH32" s="86"/>
    </row>
    <row r="33" spans="1:34" s="9" customFormat="1" ht="12.75">
      <c r="A33" s="70" t="s">
        <v>526</v>
      </c>
      <c r="B33" s="70" t="s">
        <v>413</v>
      </c>
      <c r="C33" s="71">
        <f>+C7/C6*100</f>
        <v>62.33308605341246</v>
      </c>
      <c r="D33" s="72">
        <f>(+C7+D7)/(C6+D6)*100</f>
        <v>64.16996419822874</v>
      </c>
      <c r="E33" s="72">
        <f>(+C7+D7+E7)/(C6+D6+E6)*100</f>
        <v>64.72532269127642</v>
      </c>
      <c r="F33" s="72">
        <f>(+C7+D7+E7+F7)/(C6+D6+E6+F6)*100</f>
        <v>67.07593047330155</v>
      </c>
      <c r="G33" s="71">
        <f>+G7/G6*100</f>
        <v>63.102797322807604</v>
      </c>
      <c r="H33" s="72">
        <f>(+G7+H7)/(G6+H6)*100</f>
        <v>62.694472029129415</v>
      </c>
      <c r="I33" s="72">
        <f>(+G7+H7+I7)/(G6+H6+I6)*100</f>
        <v>63.72634802581209</v>
      </c>
      <c r="J33" s="72">
        <f>(+G7+H7+I7+J7)/(G6+H6+I6+J6)*100</f>
        <v>70.52286049237982</v>
      </c>
      <c r="K33" s="71">
        <f>+K7/K6*100</f>
        <v>65.33665835411472</v>
      </c>
      <c r="L33" s="72">
        <f>(+K7+L7)/(K6+L6)*100</f>
        <v>60.24790083966414</v>
      </c>
      <c r="M33" s="72">
        <f>(+K7+L7+M7)/(K6+L6+M6)*100</f>
        <v>58.74215120731022</v>
      </c>
      <c r="N33" s="72">
        <f>(+K7+L7+M7+N7)/(K6+L6+M6+N6)*100</f>
        <v>59.087342070156154</v>
      </c>
      <c r="O33" s="71">
        <f>+O7/O6*100</f>
        <v>59.57703927492448</v>
      </c>
      <c r="P33" s="72">
        <f>(+O7+P7)/(O6+P6)*100</f>
        <v>59.613239122350315</v>
      </c>
      <c r="Q33" s="72">
        <f>(+O7+P7+Q7)/(O6+P6+Q6)*100</f>
        <v>59.21604998535586</v>
      </c>
      <c r="R33" s="72">
        <f>(+O7+P7+Q7+R7)/(O6+P6+Q6+R6)*100</f>
        <v>58.58692486895749</v>
      </c>
      <c r="S33" s="71">
        <f>+S7/S6*100</f>
        <v>56.283710895361374</v>
      </c>
      <c r="T33" s="72">
        <f>(+S7+T7)/(S6+T6)*100</f>
        <v>56.571847311971226</v>
      </c>
      <c r="U33" s="72">
        <f>(+S7+T7+U7)/(S6+T6+U6)*100</f>
        <v>57.261058186859884</v>
      </c>
      <c r="V33" s="72">
        <f>(+S7+T7+U7+V7)/(S6+T6+U6+V6)*100</f>
        <v>56.856187290969906</v>
      </c>
      <c r="W33" s="71">
        <f>+W7/W6*100</f>
        <v>55.42717086834734</v>
      </c>
      <c r="X33" s="72">
        <f>(+W7+X7)/(W6+X6)*100</f>
        <v>56.61025115942901</v>
      </c>
      <c r="Y33" s="72">
        <f>(+X7+Y7+W7)/(X6+Y6+W6)*100</f>
        <v>57.116743845966376</v>
      </c>
      <c r="Z33" s="73">
        <f>(+Y7+W7+X7+Z7)/(Y6+W6+X6+Z6)*100</f>
        <v>57.50824319743613</v>
      </c>
      <c r="AA33" s="71">
        <f>(+AA7/AA6)*100</f>
        <v>55.79726915065957</v>
      </c>
      <c r="AB33" s="72">
        <f>(+AA7+AB7)/(AA6+AB6)*100</f>
        <v>57.15307156050768</v>
      </c>
      <c r="AC33" s="72">
        <f>(+AA7+AC7+AB7)/(AA6+AC6+AB6)*100</f>
        <v>56.96151683136499</v>
      </c>
      <c r="AD33" s="73">
        <f>(+AA7+AD7+AC7+AB7)/(AA6+AD6+AC6+AB6)*100</f>
        <v>56.13339342045967</v>
      </c>
      <c r="AE33" s="71">
        <f>(+AE7/AE6)*100</f>
        <v>53.315229689975105</v>
      </c>
      <c r="AF33" s="72">
        <f>(+AE7+AF7)/(AE6+AF6)*100</f>
        <v>53.421274207128825</v>
      </c>
      <c r="AG33" s="72">
        <f>(+AE7+AG7+AF7)/(AE6+AG6+AF6)*100</f>
        <v>53.80020904882783</v>
      </c>
      <c r="AH33" s="289"/>
    </row>
    <row r="34" spans="1:34" s="9" customFormat="1" ht="12.75">
      <c r="A34" s="70" t="s">
        <v>386</v>
      </c>
      <c r="B34" s="70" t="s">
        <v>414</v>
      </c>
      <c r="C34" s="74" t="s">
        <v>415</v>
      </c>
      <c r="D34" s="75" t="s">
        <v>415</v>
      </c>
      <c r="E34" s="75" t="s">
        <v>415</v>
      </c>
      <c r="F34" s="75" t="s">
        <v>415</v>
      </c>
      <c r="G34" s="76">
        <v>2.04</v>
      </c>
      <c r="H34" s="77">
        <v>2.14</v>
      </c>
      <c r="I34" s="77">
        <v>2.15</v>
      </c>
      <c r="J34" s="78">
        <v>2.14</v>
      </c>
      <c r="K34" s="76">
        <v>2.08</v>
      </c>
      <c r="L34" s="77">
        <v>2.11</v>
      </c>
      <c r="M34" s="77">
        <v>2.18</v>
      </c>
      <c r="N34" s="78">
        <v>2.25</v>
      </c>
      <c r="O34" s="76">
        <v>2.45</v>
      </c>
      <c r="P34" s="77">
        <v>2.58</v>
      </c>
      <c r="Q34" s="77">
        <v>2.66</v>
      </c>
      <c r="R34" s="78">
        <v>2.78</v>
      </c>
      <c r="S34" s="76">
        <v>2.79</v>
      </c>
      <c r="T34" s="77">
        <v>2.83</v>
      </c>
      <c r="U34" s="77">
        <v>2.84</v>
      </c>
      <c r="V34" s="78">
        <v>2.87</v>
      </c>
      <c r="W34" s="76">
        <v>2.89</v>
      </c>
      <c r="X34" s="77">
        <v>2.94</v>
      </c>
      <c r="Y34" s="77">
        <v>2.95</v>
      </c>
      <c r="Z34" s="81">
        <v>2.94</v>
      </c>
      <c r="AA34" s="76">
        <v>2.87</v>
      </c>
      <c r="AB34" s="77">
        <v>2.76</v>
      </c>
      <c r="AC34" s="77">
        <v>2.69</v>
      </c>
      <c r="AD34" s="81">
        <v>2.68</v>
      </c>
      <c r="AE34" s="77">
        <v>2.73</v>
      </c>
      <c r="AF34" s="80">
        <v>2.73</v>
      </c>
      <c r="AG34" s="80">
        <v>2.72</v>
      </c>
      <c r="AH34" s="290"/>
    </row>
    <row r="35" spans="3:34" ht="12.75">
      <c r="C35" s="26"/>
      <c r="D35" s="27"/>
      <c r="E35" s="27"/>
      <c r="F35" s="27"/>
      <c r="G35" s="26"/>
      <c r="H35" s="27"/>
      <c r="I35" s="27"/>
      <c r="J35" s="28"/>
      <c r="K35" s="26"/>
      <c r="L35" s="27"/>
      <c r="M35" s="27"/>
      <c r="N35" s="28"/>
      <c r="O35" s="26"/>
      <c r="P35" s="27"/>
      <c r="Q35" s="27"/>
      <c r="R35" s="28"/>
      <c r="S35" s="26"/>
      <c r="T35" s="27"/>
      <c r="U35" s="27"/>
      <c r="V35" s="28"/>
      <c r="W35" s="26"/>
      <c r="X35" s="27"/>
      <c r="Y35" s="27"/>
      <c r="Z35" s="28"/>
      <c r="AA35" s="26"/>
      <c r="AB35" s="27"/>
      <c r="AC35" s="27"/>
      <c r="AD35" s="28"/>
      <c r="AE35" s="27"/>
      <c r="AF35" s="27"/>
      <c r="AG35" s="27"/>
      <c r="AH35" s="84"/>
    </row>
    <row r="36" spans="1:34" ht="12.75">
      <c r="A36" s="37" t="s">
        <v>381</v>
      </c>
      <c r="B36" s="37" t="s">
        <v>167</v>
      </c>
      <c r="C36" s="26"/>
      <c r="D36" s="27"/>
      <c r="E36" s="27"/>
      <c r="F36" s="27"/>
      <c r="G36" s="26"/>
      <c r="H36" s="27"/>
      <c r="I36" s="27"/>
      <c r="J36" s="28"/>
      <c r="K36" s="26"/>
      <c r="L36" s="27"/>
      <c r="M36" s="27"/>
      <c r="N36" s="28"/>
      <c r="O36" s="26"/>
      <c r="P36" s="27"/>
      <c r="Q36" s="27"/>
      <c r="R36" s="28"/>
      <c r="S36" s="26"/>
      <c r="T36" s="27"/>
      <c r="U36" s="27"/>
      <c r="V36" s="28"/>
      <c r="W36" s="26"/>
      <c r="X36" s="27"/>
      <c r="Y36" s="27"/>
      <c r="Z36" s="28"/>
      <c r="AA36" s="26"/>
      <c r="AB36" s="27"/>
      <c r="AC36" s="27"/>
      <c r="AD36" s="28"/>
      <c r="AE36" s="27"/>
      <c r="AF36" s="27"/>
      <c r="AG36" s="27"/>
      <c r="AH36" s="84"/>
    </row>
    <row r="37" spans="1:34" ht="12.75">
      <c r="A37" s="70" t="s">
        <v>523</v>
      </c>
      <c r="B37" s="70" t="s">
        <v>524</v>
      </c>
      <c r="C37" s="26">
        <v>130100000</v>
      </c>
      <c r="D37" s="27">
        <v>130100000</v>
      </c>
      <c r="E37" s="27">
        <v>130100000</v>
      </c>
      <c r="F37" s="28">
        <v>130100000</v>
      </c>
      <c r="G37" s="27">
        <v>130100000</v>
      </c>
      <c r="H37" s="27">
        <v>130100000</v>
      </c>
      <c r="I37" s="27">
        <v>130100000</v>
      </c>
      <c r="J37" s="27">
        <v>130100000</v>
      </c>
      <c r="K37" s="26">
        <v>130100000</v>
      </c>
      <c r="L37" s="27">
        <v>130100000</v>
      </c>
      <c r="M37" s="27">
        <v>130100000</v>
      </c>
      <c r="N37" s="28">
        <v>130100000</v>
      </c>
      <c r="O37" s="27">
        <v>130100000</v>
      </c>
      <c r="P37" s="27">
        <v>130100000</v>
      </c>
      <c r="Q37" s="27">
        <v>130100000</v>
      </c>
      <c r="R37" s="27">
        <v>130100000</v>
      </c>
      <c r="S37" s="26">
        <v>130100000</v>
      </c>
      <c r="T37" s="27">
        <v>130100000</v>
      </c>
      <c r="U37" s="27">
        <v>130100000</v>
      </c>
      <c r="V37" s="28">
        <v>130100000</v>
      </c>
      <c r="W37" s="26">
        <v>130100000</v>
      </c>
      <c r="X37" s="27">
        <v>130100000</v>
      </c>
      <c r="Y37" s="27">
        <v>130100000</v>
      </c>
      <c r="Z37" s="28">
        <v>130100000</v>
      </c>
      <c r="AA37" s="26">
        <v>130100000</v>
      </c>
      <c r="AB37" s="27">
        <v>130100000</v>
      </c>
      <c r="AC37" s="27">
        <v>130100000</v>
      </c>
      <c r="AD37" s="28">
        <v>130100000</v>
      </c>
      <c r="AE37" s="27">
        <v>130100000</v>
      </c>
      <c r="AF37" s="27">
        <v>130100000</v>
      </c>
      <c r="AG37" s="27">
        <v>130100000</v>
      </c>
      <c r="AH37" s="84"/>
    </row>
    <row r="38" spans="1:34" ht="12.75">
      <c r="A38" s="38" t="s">
        <v>380</v>
      </c>
      <c r="B38" s="38" t="s">
        <v>170</v>
      </c>
      <c r="C38" s="39">
        <v>3902.2999999999993</v>
      </c>
      <c r="D38" s="40">
        <v>3622</v>
      </c>
      <c r="E38" s="40">
        <v>3820.3999999999996</v>
      </c>
      <c r="F38" s="41">
        <v>3838.7999999999997</v>
      </c>
      <c r="G38" s="40">
        <v>4013.7</v>
      </c>
      <c r="H38" s="40">
        <v>3977.5999999999995</v>
      </c>
      <c r="I38" s="40">
        <v>4277.9</v>
      </c>
      <c r="J38" s="41">
        <v>4222.2</v>
      </c>
      <c r="K38" s="39">
        <v>4280.9</v>
      </c>
      <c r="L38" s="40">
        <v>4514.6</v>
      </c>
      <c r="M38" s="40">
        <v>4742.1</v>
      </c>
      <c r="N38" s="41">
        <v>4884.4</v>
      </c>
      <c r="O38" s="39">
        <v>5131.7</v>
      </c>
      <c r="P38" s="40">
        <v>5280.2</v>
      </c>
      <c r="Q38" s="40">
        <v>5529.5</v>
      </c>
      <c r="R38" s="40">
        <v>5650.799999999999</v>
      </c>
      <c r="S38" s="39">
        <v>5782</v>
      </c>
      <c r="T38" s="40">
        <v>5951.5</v>
      </c>
      <c r="U38" s="40">
        <v>6194.599999999999</v>
      </c>
      <c r="V38" s="41">
        <v>6413.7</v>
      </c>
      <c r="W38" s="39">
        <v>6751.1</v>
      </c>
      <c r="X38" s="40">
        <v>6978.8</v>
      </c>
      <c r="Y38" s="40">
        <f aca="true" t="shared" si="1" ref="Y38:AG38">Y19</f>
        <v>7424.9</v>
      </c>
      <c r="Z38" s="41">
        <f t="shared" si="1"/>
        <v>8133.799999999999</v>
      </c>
      <c r="AA38" s="39">
        <f t="shared" si="1"/>
        <v>8236.5</v>
      </c>
      <c r="AB38" s="40">
        <f t="shared" si="1"/>
        <v>8131.2</v>
      </c>
      <c r="AC38" s="40">
        <f t="shared" si="1"/>
        <v>8269.2</v>
      </c>
      <c r="AD38" s="41">
        <f>AD19</f>
        <v>8626.3</v>
      </c>
      <c r="AE38" s="40">
        <f>AE19</f>
        <v>8885.599999999999</v>
      </c>
      <c r="AF38" s="40">
        <f>AF19</f>
        <v>9158.699999999999</v>
      </c>
      <c r="AG38" s="40">
        <f t="shared" si="1"/>
        <v>9931.599999999999</v>
      </c>
      <c r="AH38" s="86"/>
    </row>
    <row r="39" spans="1:34" ht="12.75">
      <c r="A39" s="38" t="s">
        <v>383</v>
      </c>
      <c r="B39" s="38" t="s">
        <v>179</v>
      </c>
      <c r="C39" s="79">
        <f aca="true" t="shared" si="2" ref="C39:X39">+C38/C37*1000000</f>
        <v>29.9946195234435</v>
      </c>
      <c r="D39" s="80">
        <f t="shared" si="2"/>
        <v>27.84012298232129</v>
      </c>
      <c r="E39" s="80">
        <f t="shared" si="2"/>
        <v>29.365103766333586</v>
      </c>
      <c r="F39" s="81">
        <f t="shared" si="2"/>
        <v>29.5065334358186</v>
      </c>
      <c r="G39" s="80">
        <f t="shared" si="2"/>
        <v>30.85088393543428</v>
      </c>
      <c r="H39" s="80">
        <f t="shared" si="2"/>
        <v>30.573405073020748</v>
      </c>
      <c r="I39" s="80">
        <f t="shared" si="2"/>
        <v>32.881629515757105</v>
      </c>
      <c r="J39" s="80">
        <f t="shared" si="2"/>
        <v>32.45349730976172</v>
      </c>
      <c r="K39" s="79">
        <f t="shared" si="2"/>
        <v>32.90468870099922</v>
      </c>
      <c r="L39" s="80">
        <f t="shared" si="2"/>
        <v>34.70099923136049</v>
      </c>
      <c r="M39" s="80">
        <f t="shared" si="2"/>
        <v>36.449654112221374</v>
      </c>
      <c r="N39" s="81">
        <f t="shared" si="2"/>
        <v>37.543428132205996</v>
      </c>
      <c r="O39" s="79">
        <f t="shared" si="2"/>
        <v>39.44427363566487</v>
      </c>
      <c r="P39" s="80">
        <f t="shared" si="2"/>
        <v>40.585703305149885</v>
      </c>
      <c r="Q39" s="80">
        <f t="shared" si="2"/>
        <v>42.501921598770174</v>
      </c>
      <c r="R39" s="80">
        <f t="shared" si="2"/>
        <v>43.43428132205995</v>
      </c>
      <c r="S39" s="79">
        <f t="shared" si="2"/>
        <v>44.44273635664873</v>
      </c>
      <c r="T39" s="80">
        <f t="shared" si="2"/>
        <v>45.745580322828594</v>
      </c>
      <c r="U39" s="80">
        <f t="shared" si="2"/>
        <v>47.6141429669485</v>
      </c>
      <c r="V39" s="81">
        <f t="shared" si="2"/>
        <v>49.298232129131435</v>
      </c>
      <c r="W39" s="79">
        <f t="shared" si="2"/>
        <v>51.89162182936203</v>
      </c>
      <c r="X39" s="80">
        <f t="shared" si="2"/>
        <v>53.64181398923905</v>
      </c>
      <c r="Y39" s="80">
        <f aca="true" t="shared" si="3" ref="Y39:AG39">+Y38/Y37*1000000</f>
        <v>57.0707148347425</v>
      </c>
      <c r="Z39" s="81">
        <f t="shared" si="3"/>
        <v>62.51960030745579</v>
      </c>
      <c r="AA39" s="79">
        <f t="shared" si="3"/>
        <v>63.308993082244434</v>
      </c>
      <c r="AB39" s="80">
        <f t="shared" si="3"/>
        <v>62.49961568024596</v>
      </c>
      <c r="AC39" s="80">
        <f t="shared" si="3"/>
        <v>63.56033820138356</v>
      </c>
      <c r="AD39" s="81">
        <f>+AD38/AD37*1000000</f>
        <v>66.30514988470406</v>
      </c>
      <c r="AE39" s="80">
        <f>+AE38/AE37*1000000</f>
        <v>68.29823212913143</v>
      </c>
      <c r="AF39" s="80">
        <f>+AF38/AF37*1000000</f>
        <v>70.39738662567255</v>
      </c>
      <c r="AG39" s="80">
        <f t="shared" si="3"/>
        <v>76.3382013835511</v>
      </c>
      <c r="AH39" s="290"/>
    </row>
    <row r="40" spans="1:34" ht="12.75">
      <c r="A40" s="38" t="s">
        <v>367</v>
      </c>
      <c r="B40" s="38" t="s">
        <v>162</v>
      </c>
      <c r="C40" s="79">
        <f aca="true" t="shared" si="4" ref="C40:X40">(C10/C37)*1000000</f>
        <v>1.2867025365103772</v>
      </c>
      <c r="D40" s="80">
        <f t="shared" si="4"/>
        <v>1.2897770945426608</v>
      </c>
      <c r="E40" s="80">
        <f t="shared" si="4"/>
        <v>1.5219062259800151</v>
      </c>
      <c r="F40" s="81">
        <f t="shared" si="4"/>
        <v>0.7494235203689463</v>
      </c>
      <c r="G40" s="80">
        <f t="shared" si="4"/>
        <v>1.3358954650269033</v>
      </c>
      <c r="H40" s="80">
        <f t="shared" si="4"/>
        <v>1.7963105303612599</v>
      </c>
      <c r="I40" s="80">
        <f t="shared" si="4"/>
        <v>1.2828593389700236</v>
      </c>
      <c r="J40" s="80">
        <f t="shared" si="4"/>
        <v>-0.991544965411222</v>
      </c>
      <c r="K40" s="79">
        <f t="shared" si="4"/>
        <v>0.6210607225211366</v>
      </c>
      <c r="L40" s="80">
        <f t="shared" si="4"/>
        <v>1.4043043812451959</v>
      </c>
      <c r="M40" s="80">
        <f t="shared" si="4"/>
        <v>1.6202920830130665</v>
      </c>
      <c r="N40" s="81">
        <f t="shared" si="4"/>
        <v>0.9285165257494228</v>
      </c>
      <c r="O40" s="79">
        <f t="shared" si="4"/>
        <v>1.3643351268255186</v>
      </c>
      <c r="P40" s="80">
        <f t="shared" si="4"/>
        <v>1.471944657955419</v>
      </c>
      <c r="Q40" s="80">
        <f t="shared" si="4"/>
        <v>1.4788624135280544</v>
      </c>
      <c r="R40" s="80">
        <f t="shared" si="4"/>
        <v>1.4734819369715602</v>
      </c>
      <c r="S40" s="79">
        <f t="shared" si="4"/>
        <v>1.6333589546502696</v>
      </c>
      <c r="T40" s="80">
        <f t="shared" si="4"/>
        <v>1.7978478093774015</v>
      </c>
      <c r="U40" s="80">
        <f t="shared" si="4"/>
        <v>1.691775557263643</v>
      </c>
      <c r="V40" s="81">
        <f t="shared" si="4"/>
        <v>1.641813989239047</v>
      </c>
      <c r="W40" s="79">
        <f t="shared" si="4"/>
        <v>2.0868562644119915</v>
      </c>
      <c r="X40" s="80">
        <f t="shared" si="4"/>
        <v>1.2882398155265178</v>
      </c>
      <c r="Y40" s="80">
        <f aca="true" t="shared" si="5" ref="Y40:AG40">(Y10/Y37)*1000000</f>
        <v>1.5618754803996906</v>
      </c>
      <c r="Z40" s="81">
        <f t="shared" si="5"/>
        <v>1.4604150653343584</v>
      </c>
      <c r="AA40" s="79">
        <f t="shared" si="5"/>
        <v>1.996156802459646</v>
      </c>
      <c r="AB40" s="80">
        <f t="shared" si="5"/>
        <v>1.66717909300538</v>
      </c>
      <c r="AC40" s="80">
        <f t="shared" si="5"/>
        <v>1.8016910069177574</v>
      </c>
      <c r="AD40" s="81">
        <f t="shared" si="5"/>
        <v>1.9254419677171415</v>
      </c>
      <c r="AE40" s="80">
        <f t="shared" si="5"/>
        <v>1.9569561875480397</v>
      </c>
      <c r="AF40" s="80">
        <f t="shared" si="5"/>
        <v>2.169869331283628</v>
      </c>
      <c r="AG40" s="80">
        <f t="shared" si="5"/>
        <v>2.098385857033053</v>
      </c>
      <c r="AH40" s="290"/>
    </row>
    <row r="41" spans="1:34" ht="12.75">
      <c r="A41" s="38" t="s">
        <v>384</v>
      </c>
      <c r="B41" s="38" t="s">
        <v>168</v>
      </c>
      <c r="C41" s="39">
        <f>(+C42*C37)/1000000</f>
        <v>9887.6</v>
      </c>
      <c r="D41" s="40">
        <f>+(D42*D37)/1000000</f>
        <v>13049.03</v>
      </c>
      <c r="E41" s="40">
        <f>(+E42*E37)/1000000</f>
        <v>11839.1</v>
      </c>
      <c r="F41" s="40">
        <f>(+F42*F37)/1000000</f>
        <v>9432.25</v>
      </c>
      <c r="G41" s="39">
        <f>(+G42*G37)/1000000</f>
        <v>6895.3</v>
      </c>
      <c r="H41" s="40">
        <f>+(H42*H37)/1000000</f>
        <v>5399.15</v>
      </c>
      <c r="I41" s="40">
        <f>(+I42*I37)/1000000</f>
        <v>6648.11</v>
      </c>
      <c r="J41" s="40">
        <f>(+J42*J37)/1000000</f>
        <v>5594.3</v>
      </c>
      <c r="K41" s="39">
        <f>(+K42*K37)/1000000</f>
        <v>2758.12</v>
      </c>
      <c r="L41" s="40">
        <f>+(L42*L37)/1000000</f>
        <v>4566.51</v>
      </c>
      <c r="M41" s="40">
        <f>(+M42*M37)/1000000</f>
        <v>8326.4</v>
      </c>
      <c r="N41" s="40">
        <f>(+N42*N37)/1000000</f>
        <v>10147.8</v>
      </c>
      <c r="O41" s="39">
        <f>(+O42*O37)/1000000</f>
        <v>9705.46</v>
      </c>
      <c r="P41" s="40">
        <f>+(P42*P37)/1000000</f>
        <v>9822.55</v>
      </c>
      <c r="Q41" s="40">
        <f>(+Q42*Q37)/1000000</f>
        <v>10733.25</v>
      </c>
      <c r="R41" s="40">
        <f>(+R42*R37)/1000000</f>
        <v>11630.94</v>
      </c>
      <c r="S41" s="39">
        <f>(+S42*S37)/1000000</f>
        <v>11630.94</v>
      </c>
      <c r="T41" s="40">
        <f>+(T42*T37)/1000000</f>
        <v>11227.63</v>
      </c>
      <c r="U41" s="40">
        <f aca="true" t="shared" si="6" ref="U41:Z41">(+U42*U37)/1000000</f>
        <v>9627.4</v>
      </c>
      <c r="V41" s="40">
        <f t="shared" si="6"/>
        <v>10225.86</v>
      </c>
      <c r="W41" s="39">
        <f t="shared" si="6"/>
        <v>11500.84</v>
      </c>
      <c r="X41" s="40">
        <f t="shared" si="6"/>
        <v>10616.16</v>
      </c>
      <c r="Y41" s="40">
        <f t="shared" si="6"/>
        <v>10941.41</v>
      </c>
      <c r="Z41" s="41">
        <f t="shared" si="6"/>
        <v>11839.1</v>
      </c>
      <c r="AA41" s="39">
        <f aca="true" t="shared" si="7" ref="AA41:AG41">(+AA42*AA37)/1000000</f>
        <v>11813.08</v>
      </c>
      <c r="AB41" s="40">
        <f t="shared" si="7"/>
        <v>12315.266</v>
      </c>
      <c r="AC41" s="40">
        <f t="shared" si="7"/>
        <v>14571.2</v>
      </c>
      <c r="AD41" s="41">
        <f t="shared" si="7"/>
        <v>14746.835</v>
      </c>
      <c r="AE41" s="40">
        <f t="shared" si="7"/>
        <v>17238.25</v>
      </c>
      <c r="AF41" s="40">
        <f t="shared" si="7"/>
        <v>17251.26</v>
      </c>
      <c r="AG41" s="40">
        <f t="shared" si="7"/>
        <v>19254.8</v>
      </c>
      <c r="AH41" s="86"/>
    </row>
    <row r="42" spans="1:34" ht="12.75">
      <c r="A42" s="38" t="s">
        <v>382</v>
      </c>
      <c r="B42" s="38" t="s">
        <v>171</v>
      </c>
      <c r="C42" s="39">
        <v>76</v>
      </c>
      <c r="D42" s="40">
        <v>100.3</v>
      </c>
      <c r="E42" s="40">
        <v>91</v>
      </c>
      <c r="F42" s="40">
        <v>72.5</v>
      </c>
      <c r="G42" s="39">
        <v>53</v>
      </c>
      <c r="H42" s="40">
        <v>41.5</v>
      </c>
      <c r="I42" s="40">
        <v>51.1</v>
      </c>
      <c r="J42" s="41">
        <v>43</v>
      </c>
      <c r="K42" s="39">
        <v>21.2</v>
      </c>
      <c r="L42" s="40">
        <v>35.1</v>
      </c>
      <c r="M42" s="40">
        <v>64</v>
      </c>
      <c r="N42" s="40">
        <v>78</v>
      </c>
      <c r="O42" s="39">
        <v>74.6</v>
      </c>
      <c r="P42" s="40">
        <v>75.5</v>
      </c>
      <c r="Q42" s="40">
        <v>82.5</v>
      </c>
      <c r="R42" s="41">
        <v>89.4</v>
      </c>
      <c r="S42" s="39">
        <v>89.4</v>
      </c>
      <c r="T42" s="40">
        <v>86.3</v>
      </c>
      <c r="U42" s="40">
        <v>74</v>
      </c>
      <c r="V42" s="41">
        <v>78.6</v>
      </c>
      <c r="W42" s="39">
        <v>88.4</v>
      </c>
      <c r="X42" s="40">
        <v>81.6</v>
      </c>
      <c r="Y42" s="40">
        <v>84.1</v>
      </c>
      <c r="Z42" s="41">
        <v>91</v>
      </c>
      <c r="AA42" s="39">
        <v>90.8</v>
      </c>
      <c r="AB42" s="40">
        <v>94.66</v>
      </c>
      <c r="AC42" s="40">
        <v>112</v>
      </c>
      <c r="AD42" s="41">
        <v>113.35</v>
      </c>
      <c r="AE42" s="40">
        <v>132.5</v>
      </c>
      <c r="AF42" s="68">
        <v>132.6</v>
      </c>
      <c r="AG42" s="68">
        <v>148</v>
      </c>
      <c r="AH42" s="86"/>
    </row>
    <row r="43" spans="1:34" ht="12.75">
      <c r="A43" s="38"/>
      <c r="B43" s="38"/>
      <c r="C43" s="26"/>
      <c r="D43" s="27"/>
      <c r="E43" s="27"/>
      <c r="F43" s="27"/>
      <c r="G43" s="26"/>
      <c r="H43" s="27"/>
      <c r="I43" s="27"/>
      <c r="J43" s="28"/>
      <c r="K43" s="26"/>
      <c r="L43" s="27"/>
      <c r="M43" s="27"/>
      <c r="N43" s="28"/>
      <c r="O43" s="26"/>
      <c r="P43" s="27"/>
      <c r="Q43" s="27"/>
      <c r="R43" s="28"/>
      <c r="S43" s="26"/>
      <c r="T43" s="27"/>
      <c r="U43" s="27"/>
      <c r="V43" s="28"/>
      <c r="W43" s="26"/>
      <c r="X43" s="27"/>
      <c r="Y43" s="27"/>
      <c r="Z43" s="28"/>
      <c r="AA43" s="26"/>
      <c r="AB43" s="27"/>
      <c r="AC43" s="27"/>
      <c r="AD43" s="28"/>
      <c r="AE43" s="27"/>
      <c r="AF43" s="27"/>
      <c r="AG43" s="27"/>
      <c r="AH43" s="84"/>
    </row>
    <row r="44" spans="1:34" ht="12.75">
      <c r="A44" s="37" t="s">
        <v>379</v>
      </c>
      <c r="B44" s="37" t="s">
        <v>172</v>
      </c>
      <c r="C44" s="26"/>
      <c r="D44" s="27"/>
      <c r="E44" s="27"/>
      <c r="F44" s="27"/>
      <c r="G44" s="26"/>
      <c r="H44" s="27"/>
      <c r="I44" s="27"/>
      <c r="J44" s="28"/>
      <c r="K44" s="26"/>
      <c r="L44" s="27"/>
      <c r="M44" s="27"/>
      <c r="N44" s="28"/>
      <c r="O44" s="26"/>
      <c r="P44" s="27"/>
      <c r="Q44" s="27"/>
      <c r="R44" s="28"/>
      <c r="S44" s="26"/>
      <c r="T44" s="27"/>
      <c r="U44" s="27"/>
      <c r="V44" s="28"/>
      <c r="W44" s="26"/>
      <c r="X44" s="27"/>
      <c r="Y44" s="27"/>
      <c r="Z44" s="28"/>
      <c r="AA44" s="26"/>
      <c r="AB44" s="27"/>
      <c r="AC44" s="27"/>
      <c r="AD44" s="28"/>
      <c r="AE44" s="27"/>
      <c r="AF44" s="27"/>
      <c r="AG44" s="27"/>
      <c r="AH44" s="84"/>
    </row>
    <row r="45" spans="1:34" s="15" customFormat="1" ht="12.75">
      <c r="A45" s="38" t="s">
        <v>365</v>
      </c>
      <c r="B45" s="38" t="s">
        <v>177</v>
      </c>
      <c r="C45" s="26">
        <v>2193</v>
      </c>
      <c r="D45" s="27">
        <v>2239</v>
      </c>
      <c r="E45" s="27">
        <v>2323</v>
      </c>
      <c r="F45" s="27">
        <v>2369</v>
      </c>
      <c r="G45" s="26">
        <v>2458</v>
      </c>
      <c r="H45" s="27">
        <v>2530</v>
      </c>
      <c r="I45" s="27">
        <v>2648</v>
      </c>
      <c r="J45" s="28">
        <v>2729</v>
      </c>
      <c r="K45" s="26">
        <v>2764</v>
      </c>
      <c r="L45" s="27">
        <v>2806</v>
      </c>
      <c r="M45" s="27">
        <v>2841</v>
      </c>
      <c r="N45" s="28">
        <v>2898</v>
      </c>
      <c r="O45" s="26">
        <v>2945</v>
      </c>
      <c r="P45" s="27">
        <v>2997</v>
      </c>
      <c r="Q45" s="27">
        <v>3064</v>
      </c>
      <c r="R45" s="28">
        <v>3117</v>
      </c>
      <c r="S45" s="26">
        <v>3150</v>
      </c>
      <c r="T45" s="27">
        <v>3180</v>
      </c>
      <c r="U45" s="27">
        <v>3197</v>
      </c>
      <c r="V45" s="28">
        <v>3226</v>
      </c>
      <c r="W45" s="26">
        <v>3274</v>
      </c>
      <c r="X45" s="27">
        <v>3294</v>
      </c>
      <c r="Y45" s="27">
        <v>3346</v>
      </c>
      <c r="Z45" s="28">
        <v>3382</v>
      </c>
      <c r="AA45" s="26">
        <v>3413</v>
      </c>
      <c r="AB45" s="27">
        <v>3462</v>
      </c>
      <c r="AC45" s="27">
        <v>3495</v>
      </c>
      <c r="AD45" s="28">
        <v>3542</v>
      </c>
      <c r="AE45" s="26">
        <v>3545</v>
      </c>
      <c r="AF45" s="27">
        <v>3602</v>
      </c>
      <c r="AG45" s="27">
        <v>3668</v>
      </c>
      <c r="AH45" s="84"/>
    </row>
    <row r="46" spans="1:34" s="15" customFormat="1" ht="12.75">
      <c r="A46" s="38" t="s">
        <v>353</v>
      </c>
      <c r="B46" s="38" t="s">
        <v>163</v>
      </c>
      <c r="C46" s="26">
        <f>'Pozostałe informacje_other info'!C13</f>
        <v>350</v>
      </c>
      <c r="D46" s="27">
        <f>'Pozostałe informacje_other info'!D13</f>
        <v>361</v>
      </c>
      <c r="E46" s="27">
        <f>'Pozostałe informacje_other info'!E13</f>
        <v>375</v>
      </c>
      <c r="F46" s="27">
        <f>'Pozostałe informacje_other info'!F13</f>
        <v>404</v>
      </c>
      <c r="G46" s="26">
        <f>'Pozostałe informacje_other info'!G13</f>
        <v>415</v>
      </c>
      <c r="H46" s="27">
        <f>'Pozostałe informacje_other info'!H13</f>
        <v>430</v>
      </c>
      <c r="I46" s="27">
        <f>'Pozostałe informacje_other info'!I13</f>
        <v>432</v>
      </c>
      <c r="J46" s="28">
        <f>'Pozostałe informacje_other info'!J13</f>
        <v>439</v>
      </c>
      <c r="K46" s="26">
        <f>'Pozostałe informacje_other info'!K13</f>
        <v>439</v>
      </c>
      <c r="L46" s="27">
        <f>'Pozostałe informacje_other info'!L13</f>
        <v>438</v>
      </c>
      <c r="M46" s="27">
        <f>'Pozostałe informacje_other info'!M13</f>
        <v>438</v>
      </c>
      <c r="N46" s="28">
        <f>'Pozostałe informacje_other info'!N13</f>
        <v>441</v>
      </c>
      <c r="O46" s="26">
        <f>'Pozostałe informacje_other info'!O13</f>
        <v>441</v>
      </c>
      <c r="P46" s="27">
        <f>'Pozostałe informacje_other info'!P13</f>
        <v>442</v>
      </c>
      <c r="Q46" s="27">
        <f>'Pozostałe informacje_other info'!Q13</f>
        <v>441</v>
      </c>
      <c r="R46" s="28">
        <f>'Pozostałe informacje_other info'!R13</f>
        <v>443</v>
      </c>
      <c r="S46" s="26">
        <f>'Pozostałe informacje_other info'!S13</f>
        <v>445</v>
      </c>
      <c r="T46" s="27">
        <f>'Pozostałe informacje_other info'!T13</f>
        <v>443</v>
      </c>
      <c r="U46" s="27">
        <f>'Pozostałe informacje_other info'!U13</f>
        <v>441</v>
      </c>
      <c r="V46" s="28">
        <f>'Pozostałe informacje_other info'!V13</f>
        <v>439</v>
      </c>
      <c r="W46" s="26">
        <f>'Pozostałe informacje_other info'!W13</f>
        <v>438</v>
      </c>
      <c r="X46" s="27">
        <f>'Pozostałe informacje_other info'!X13</f>
        <v>437</v>
      </c>
      <c r="Y46" s="27">
        <f>'Pozostałe informacje_other info'!Y13</f>
        <v>432</v>
      </c>
      <c r="Z46" s="28">
        <f>'Pozostałe informacje_other info'!Z13</f>
        <v>426</v>
      </c>
      <c r="AA46" s="26">
        <f>'Pozostałe informacje_other info'!AA13</f>
        <v>423</v>
      </c>
      <c r="AB46" s="27">
        <f>'Pozostałe informacje_other info'!AB13</f>
        <v>421</v>
      </c>
      <c r="AC46" s="27">
        <f>'Pozostałe informacje_other info'!AC13</f>
        <v>421</v>
      </c>
      <c r="AD46" s="28">
        <f>'Pozostałe informacje_other info'!AD13</f>
        <v>417</v>
      </c>
      <c r="AE46" s="27">
        <f>'Pozostałe informacje_other info'!AE13</f>
        <v>412</v>
      </c>
      <c r="AF46" s="27">
        <f>'Pozostałe informacje_other info'!AF13</f>
        <v>409</v>
      </c>
      <c r="AG46" s="27">
        <f>'Pozostałe informacje_other info'!AG13</f>
        <v>407</v>
      </c>
      <c r="AH46" s="84"/>
    </row>
    <row r="47" spans="1:34" s="15" customFormat="1" ht="12.75">
      <c r="A47" s="38" t="s">
        <v>366</v>
      </c>
      <c r="B47" s="38" t="s">
        <v>164</v>
      </c>
      <c r="C47" s="26">
        <f>'Pozostałe informacje_other info'!C7</f>
        <v>7578</v>
      </c>
      <c r="D47" s="27">
        <f>'Pozostałe informacje_other info'!D7</f>
        <v>7676</v>
      </c>
      <c r="E47" s="27">
        <f>'Pozostałe informacje_other info'!E7</f>
        <v>7828</v>
      </c>
      <c r="F47" s="27">
        <f>'Pozostałe informacje_other info'!F7</f>
        <v>8048</v>
      </c>
      <c r="G47" s="26">
        <f>'Pozostałe informacje_other info'!G7</f>
        <v>8137</v>
      </c>
      <c r="H47" s="27">
        <f>'Pozostałe informacje_other info'!H7</f>
        <v>8318</v>
      </c>
      <c r="I47" s="27">
        <f>'Pozostałe informacje_other info'!I7</f>
        <v>8330</v>
      </c>
      <c r="J47" s="28">
        <f>'Pozostałe informacje_other info'!J7</f>
        <v>8454</v>
      </c>
      <c r="K47" s="26">
        <f>'Pozostałe informacje_other info'!K7</f>
        <v>8368</v>
      </c>
      <c r="L47" s="27">
        <f>'Pozostałe informacje_other info'!L7</f>
        <v>8196</v>
      </c>
      <c r="M47" s="27">
        <f>'Pozostałe informacje_other info'!M7</f>
        <v>8092</v>
      </c>
      <c r="N47" s="28">
        <f>'Pozostałe informacje_other info'!N7</f>
        <v>8064</v>
      </c>
      <c r="O47" s="26">
        <f>'Pozostałe informacje_other info'!O7</f>
        <v>8084</v>
      </c>
      <c r="P47" s="27">
        <f>'Pozostałe informacje_other info'!P7</f>
        <v>8183</v>
      </c>
      <c r="Q47" s="27">
        <f>'Pozostałe informacje_other info'!Q7</f>
        <v>8366</v>
      </c>
      <c r="R47" s="28">
        <f>'Pozostałe informacje_other info'!R7</f>
        <v>8314</v>
      </c>
      <c r="S47" s="26">
        <f>'Pozostałe informacje_other info'!S7</f>
        <v>8358</v>
      </c>
      <c r="T47" s="27">
        <f>'Pozostałe informacje_other info'!T7</f>
        <v>8357</v>
      </c>
      <c r="U47" s="27">
        <f>'Pozostałe informacje_other info'!U7</f>
        <v>8212</v>
      </c>
      <c r="V47" s="28">
        <f>'Pozostałe informacje_other info'!V7</f>
        <v>8214</v>
      </c>
      <c r="W47" s="26">
        <f>'Pozostałe informacje_other info'!W7</f>
        <v>8478</v>
      </c>
      <c r="X47" s="27">
        <f>'Pozostałe informacje_other info'!X7</f>
        <v>8529</v>
      </c>
      <c r="Y47" s="27">
        <f>'Pozostałe informacje_other info'!Y7</f>
        <v>8503</v>
      </c>
      <c r="Z47" s="28">
        <f>'Pozostałe informacje_other info'!Z7</f>
        <v>8473</v>
      </c>
      <c r="AA47" s="26">
        <f>'Pozostałe informacje_other info'!AA7</f>
        <v>8439</v>
      </c>
      <c r="AB47" s="27">
        <f>'Pozostałe informacje_other info'!AB7</f>
        <v>8381</v>
      </c>
      <c r="AC47" s="27">
        <f>'Pozostałe informacje_other info'!AC7</f>
        <v>8319</v>
      </c>
      <c r="AD47" s="28">
        <f>'Pozostałe informacje_other info'!AD7</f>
        <v>8266</v>
      </c>
      <c r="AE47" s="27">
        <f>'Pozostałe informacje_other info'!AE7</f>
        <v>8197</v>
      </c>
      <c r="AF47" s="27">
        <f>'Pozostałe informacje_other info'!AF7</f>
        <v>8172</v>
      </c>
      <c r="AG47" s="27">
        <f>'Pozostałe informacje_other info'!AG7</f>
        <v>8172</v>
      </c>
      <c r="AH47" s="84"/>
    </row>
    <row r="48" spans="1:27" ht="12.75">
      <c r="A48" s="30"/>
      <c r="B48" s="30"/>
      <c r="C48" s="82"/>
      <c r="D48" s="82"/>
      <c r="E48" s="82"/>
      <c r="F48" s="82"/>
      <c r="G48" s="82"/>
      <c r="H48" s="82"/>
      <c r="I48" s="82"/>
      <c r="J48" s="82"/>
      <c r="K48" s="82"/>
      <c r="L48" s="82"/>
      <c r="M48" s="82"/>
      <c r="N48" s="82"/>
      <c r="O48" s="82"/>
      <c r="P48" s="82"/>
      <c r="Q48" s="82"/>
      <c r="R48" s="82"/>
      <c r="S48" s="82"/>
      <c r="T48" s="82"/>
      <c r="U48" s="82"/>
      <c r="V48" s="82"/>
      <c r="W48" s="82"/>
      <c r="X48" s="82"/>
      <c r="Y48" s="82"/>
      <c r="Z48" s="82"/>
      <c r="AA48" s="82"/>
    </row>
    <row r="49" spans="1:27" ht="12.75">
      <c r="A49" s="83" t="s">
        <v>417</v>
      </c>
      <c r="B49" s="83" t="s">
        <v>173</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row>
    <row r="50" spans="1:27" ht="12.75">
      <c r="A50" s="83" t="s">
        <v>418</v>
      </c>
      <c r="B50" s="83" t="s">
        <v>174</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row>
    <row r="51" spans="1:27" ht="12.75">
      <c r="A51" s="85" t="s">
        <v>419</v>
      </c>
      <c r="B51" s="85" t="s">
        <v>178</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row>
    <row r="52" spans="1:27" ht="12.75">
      <c r="A52" s="83" t="s">
        <v>388</v>
      </c>
      <c r="B52" s="83" t="s">
        <v>175</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row>
    <row r="53" spans="1:27" ht="12.75">
      <c r="A53" s="83" t="s">
        <v>385</v>
      </c>
      <c r="B53" s="83" t="s">
        <v>176</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row>
    <row r="54" spans="1:27" ht="12.75">
      <c r="A54" s="83" t="s">
        <v>387</v>
      </c>
      <c r="B54" s="83" t="s">
        <v>416</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row>
    <row r="55" spans="1:2" ht="12.75">
      <c r="A55" s="83" t="s">
        <v>521</v>
      </c>
      <c r="B55" s="83" t="s">
        <v>522</v>
      </c>
    </row>
    <row r="56" spans="1:2" ht="12.75">
      <c r="A56" s="1"/>
      <c r="B56" s="1"/>
    </row>
    <row r="57" spans="1:2" ht="12.75">
      <c r="A57" s="1"/>
      <c r="B57" s="1"/>
    </row>
  </sheetData>
  <sheetProtection/>
  <mergeCells count="10">
    <mergeCell ref="AE2:AG2"/>
    <mergeCell ref="AA2:AD2"/>
    <mergeCell ref="W2:Z2"/>
    <mergeCell ref="S2:V2"/>
    <mergeCell ref="A2:A3"/>
    <mergeCell ref="B2:B3"/>
    <mergeCell ref="C2:F2"/>
    <mergeCell ref="G2:J2"/>
    <mergeCell ref="K2:N2"/>
    <mergeCell ref="O2:R2"/>
  </mergeCells>
  <printOptions horizontalCentered="1"/>
  <pageMargins left="0.25" right="0.25" top="0.75" bottom="0.75" header="0.3" footer="0.3"/>
  <pageSetup fitToHeight="0" fitToWidth="1" horizontalDpi="600" verticalDpi="600" orientation="landscape" paperSize="9" scale="42" r:id="rId1"/>
  <headerFooter alignWithMargins="0">
    <oddHeader>&amp;C&amp;"Times New Roman,Kursywa"&amp;12
</oddHeader>
  </headerFooter>
  <ignoredErrors>
    <ignoredError sqref="P41:T41 L41 D41:H41" formula="1"/>
  </ignoredErrors>
</worksheet>
</file>

<file path=xl/worksheets/sheet10.xml><?xml version="1.0" encoding="utf-8"?>
<worksheet xmlns="http://schemas.openxmlformats.org/spreadsheetml/2006/main" xmlns:r="http://schemas.openxmlformats.org/officeDocument/2006/relationships">
  <dimension ref="A1:AG40"/>
  <sheetViews>
    <sheetView showGridLines="0" view="pageBreakPreview" zoomScale="85" zoomScaleSheetLayoutView="85" zoomScalePageLayoutView="0" workbookViewId="0" topLeftCell="A2">
      <pane xSplit="2" ySplit="3" topLeftCell="I5" activePane="bottomRight" state="frozen"/>
      <selection pane="topLeft" activeCell="B2" sqref="B2:B3"/>
      <selection pane="topRight" activeCell="B2" sqref="B2:B3"/>
      <selection pane="bottomLeft" activeCell="B2" sqref="B2:B3"/>
      <selection pane="bottomRight" activeCell="A3" sqref="A3:A4"/>
    </sheetView>
  </sheetViews>
  <sheetFormatPr defaultColWidth="9.00390625" defaultRowHeight="12.75" outlineLevelCol="1"/>
  <cols>
    <col min="1" max="1" width="39.625" style="2" customWidth="1"/>
    <col min="2" max="2" width="47.125" style="2" hidden="1" customWidth="1" outlineLevel="1"/>
    <col min="3" max="6" width="7.875" style="3" hidden="1" customWidth="1" outlineLevel="1"/>
    <col min="7" max="7" width="7.00390625" style="3" bestFit="1" customWidth="1" collapsed="1"/>
    <col min="8" max="8" width="7.00390625" style="3" customWidth="1"/>
    <col min="9" max="33" width="7.00390625" style="3" bestFit="1" customWidth="1"/>
    <col min="34" max="16384" width="8.875" style="3" customWidth="1"/>
  </cols>
  <sheetData>
    <row r="1" spans="3:7" ht="20.25">
      <c r="C1" s="120" t="s">
        <v>439</v>
      </c>
      <c r="D1" s="120" t="s">
        <v>439</v>
      </c>
      <c r="E1" s="120" t="s">
        <v>439</v>
      </c>
      <c r="F1" s="120" t="s">
        <v>439</v>
      </c>
      <c r="G1" s="120" t="s">
        <v>439</v>
      </c>
    </row>
    <row r="2" spans="1:2" ht="12.75" customHeight="1">
      <c r="A2" s="259" t="s">
        <v>585</v>
      </c>
      <c r="B2" s="259" t="s">
        <v>586</v>
      </c>
    </row>
    <row r="3" spans="1:33" ht="12.75" customHeight="1">
      <c r="A3" s="343" t="s">
        <v>322</v>
      </c>
      <c r="B3" s="343" t="s">
        <v>119</v>
      </c>
      <c r="C3" s="340" t="s">
        <v>534</v>
      </c>
      <c r="D3" s="341"/>
      <c r="E3" s="341"/>
      <c r="F3" s="341"/>
      <c r="G3" s="340">
        <v>2008</v>
      </c>
      <c r="H3" s="341"/>
      <c r="I3" s="341"/>
      <c r="J3" s="341"/>
      <c r="K3" s="340">
        <v>2009</v>
      </c>
      <c r="L3" s="341"/>
      <c r="M3" s="341"/>
      <c r="N3" s="341"/>
      <c r="O3" s="340">
        <v>2010</v>
      </c>
      <c r="P3" s="341"/>
      <c r="Q3" s="341"/>
      <c r="R3" s="341"/>
      <c r="S3" s="340">
        <v>2011</v>
      </c>
      <c r="T3" s="341"/>
      <c r="U3" s="341"/>
      <c r="V3" s="341"/>
      <c r="W3" s="345">
        <v>2012</v>
      </c>
      <c r="X3" s="346"/>
      <c r="Y3" s="346"/>
      <c r="Z3" s="353"/>
      <c r="AA3" s="345">
        <v>2013</v>
      </c>
      <c r="AB3" s="346"/>
      <c r="AC3" s="346"/>
      <c r="AD3" s="353"/>
      <c r="AE3" s="350">
        <v>2014</v>
      </c>
      <c r="AF3" s="351"/>
      <c r="AG3" s="351"/>
    </row>
    <row r="4" spans="1:33" s="4" customFormat="1" ht="12.75">
      <c r="A4" s="344"/>
      <c r="B4" s="344"/>
      <c r="C4" s="34" t="s">
        <v>533</v>
      </c>
      <c r="D4" s="35" t="s">
        <v>181</v>
      </c>
      <c r="E4" s="35" t="s">
        <v>182</v>
      </c>
      <c r="F4" s="35" t="s">
        <v>183</v>
      </c>
      <c r="G4" s="34" t="s">
        <v>532</v>
      </c>
      <c r="H4" s="35" t="s">
        <v>181</v>
      </c>
      <c r="I4" s="35" t="s">
        <v>182</v>
      </c>
      <c r="J4" s="35" t="s">
        <v>183</v>
      </c>
      <c r="K4" s="34" t="s">
        <v>180</v>
      </c>
      <c r="L4" s="35" t="s">
        <v>181</v>
      </c>
      <c r="M4" s="35" t="s">
        <v>182</v>
      </c>
      <c r="N4" s="35" t="s">
        <v>183</v>
      </c>
      <c r="O4" s="34" t="s">
        <v>180</v>
      </c>
      <c r="P4" s="35" t="s">
        <v>181</v>
      </c>
      <c r="Q4" s="35" t="s">
        <v>182</v>
      </c>
      <c r="R4" s="35" t="s">
        <v>183</v>
      </c>
      <c r="S4" s="34" t="s">
        <v>180</v>
      </c>
      <c r="T4" s="35" t="s">
        <v>181</v>
      </c>
      <c r="U4" s="35" t="s">
        <v>182</v>
      </c>
      <c r="V4" s="35" t="s">
        <v>183</v>
      </c>
      <c r="W4" s="34" t="s">
        <v>180</v>
      </c>
      <c r="X4" s="35" t="s">
        <v>181</v>
      </c>
      <c r="Y4" s="35" t="s">
        <v>182</v>
      </c>
      <c r="Z4" s="36" t="s">
        <v>183</v>
      </c>
      <c r="AA4" s="34" t="s">
        <v>180</v>
      </c>
      <c r="AB4" s="35" t="s">
        <v>181</v>
      </c>
      <c r="AC4" s="35" t="s">
        <v>182</v>
      </c>
      <c r="AD4" s="36" t="s">
        <v>183</v>
      </c>
      <c r="AE4" s="198" t="s">
        <v>180</v>
      </c>
      <c r="AF4" s="198" t="s">
        <v>181</v>
      </c>
      <c r="AG4" s="198" t="s">
        <v>182</v>
      </c>
    </row>
    <row r="5" spans="1:33" s="4" customFormat="1" ht="12.75">
      <c r="A5" s="20" t="s">
        <v>185</v>
      </c>
      <c r="B5" s="20" t="s">
        <v>12</v>
      </c>
      <c r="C5" s="16"/>
      <c r="D5" s="6"/>
      <c r="E5" s="5"/>
      <c r="F5" s="6"/>
      <c r="G5" s="16"/>
      <c r="H5" s="6"/>
      <c r="I5" s="5"/>
      <c r="J5" s="17"/>
      <c r="K5" s="16"/>
      <c r="L5" s="6"/>
      <c r="M5" s="5"/>
      <c r="N5" s="17"/>
      <c r="O5" s="16"/>
      <c r="P5" s="6"/>
      <c r="Q5" s="5"/>
      <c r="R5" s="17"/>
      <c r="S5" s="16"/>
      <c r="T5" s="6"/>
      <c r="U5" s="5"/>
      <c r="V5" s="17"/>
      <c r="W5" s="16"/>
      <c r="X5" s="5"/>
      <c r="Y5" s="5"/>
      <c r="Z5" s="18"/>
      <c r="AA5" s="16"/>
      <c r="AB5" s="5"/>
      <c r="AC5" s="5"/>
      <c r="AD5" s="18"/>
      <c r="AE5" s="3"/>
      <c r="AF5" s="3"/>
      <c r="AG5" s="3"/>
    </row>
    <row r="6" spans="1:33" s="7" customFormat="1" ht="12.75">
      <c r="A6" s="89" t="s">
        <v>323</v>
      </c>
      <c r="B6" s="89" t="s">
        <v>120</v>
      </c>
      <c r="C6" s="121"/>
      <c r="D6" s="122"/>
      <c r="E6" s="122"/>
      <c r="F6" s="122"/>
      <c r="G6" s="121"/>
      <c r="H6" s="40"/>
      <c r="I6" s="40"/>
      <c r="J6" s="41"/>
      <c r="K6" s="39"/>
      <c r="L6" s="40"/>
      <c r="M6" s="40"/>
      <c r="N6" s="41"/>
      <c r="O6" s="39"/>
      <c r="P6" s="40"/>
      <c r="Q6" s="40"/>
      <c r="R6" s="41"/>
      <c r="S6" s="39"/>
      <c r="T6" s="40"/>
      <c r="U6" s="40"/>
      <c r="V6" s="41"/>
      <c r="W6" s="39"/>
      <c r="X6" s="40"/>
      <c r="Y6" s="40"/>
      <c r="Z6" s="41"/>
      <c r="AA6" s="39"/>
      <c r="AB6" s="40"/>
      <c r="AC6" s="40"/>
      <c r="AD6" s="41"/>
      <c r="AE6" s="40"/>
      <c r="AF6" s="40"/>
      <c r="AG6" s="40"/>
    </row>
    <row r="7" spans="1:33" s="7" customFormat="1" ht="12.75">
      <c r="A7" s="37" t="s">
        <v>324</v>
      </c>
      <c r="B7" s="37" t="s">
        <v>121</v>
      </c>
      <c r="C7" s="123"/>
      <c r="D7" s="124"/>
      <c r="E7" s="124"/>
      <c r="F7" s="124"/>
      <c r="G7" s="123"/>
      <c r="H7" s="47">
        <f aca="true" t="shared" si="0" ref="H7:AB7">H8+H9</f>
        <v>14090.5</v>
      </c>
      <c r="I7" s="47">
        <f t="shared" si="0"/>
        <v>15666.1</v>
      </c>
      <c r="J7" s="48">
        <f t="shared" si="0"/>
        <v>16997.100000000002</v>
      </c>
      <c r="K7" s="46">
        <f t="shared" si="0"/>
        <v>17573.5</v>
      </c>
      <c r="L7" s="47">
        <f t="shared" si="0"/>
        <v>17136.8</v>
      </c>
      <c r="M7" s="47">
        <f t="shared" si="0"/>
        <v>16943.7</v>
      </c>
      <c r="N7" s="48">
        <f t="shared" si="0"/>
        <v>17604.600000000002</v>
      </c>
      <c r="O7" s="46">
        <f t="shared" si="0"/>
        <v>17355.6</v>
      </c>
      <c r="P7" s="47">
        <f t="shared" si="0"/>
        <v>17890.3</v>
      </c>
      <c r="Q7" s="47">
        <f t="shared" si="0"/>
        <v>19053.3</v>
      </c>
      <c r="R7" s="48">
        <f t="shared" si="0"/>
        <v>19583.399999999998</v>
      </c>
      <c r="S7" s="46">
        <f t="shared" si="0"/>
        <v>19912.4</v>
      </c>
      <c r="T7" s="47">
        <f t="shared" si="0"/>
        <v>20950.100000000002</v>
      </c>
      <c r="U7" s="47">
        <f t="shared" si="0"/>
        <v>22378.5</v>
      </c>
      <c r="V7" s="48">
        <f t="shared" si="0"/>
        <v>24457.100000000002</v>
      </c>
      <c r="W7" s="46">
        <f t="shared" si="0"/>
        <v>29827.399999999998</v>
      </c>
      <c r="X7" s="47">
        <f t="shared" si="0"/>
        <v>30072.300000000007</v>
      </c>
      <c r="Y7" s="47">
        <f t="shared" si="0"/>
        <v>30382.7</v>
      </c>
      <c r="Z7" s="48">
        <f t="shared" si="0"/>
        <v>29877.7</v>
      </c>
      <c r="AA7" s="46">
        <f t="shared" si="0"/>
        <v>29710.199999999997</v>
      </c>
      <c r="AB7" s="47">
        <f t="shared" si="0"/>
        <v>30426.200000000004</v>
      </c>
      <c r="AC7" s="47">
        <f>AC8+AC9</f>
        <v>31502.9</v>
      </c>
      <c r="AD7" s="48">
        <f>AD8+AD9</f>
        <v>31476.699999999997</v>
      </c>
      <c r="AE7" s="47">
        <f>AE8+AE9</f>
        <v>33297.5</v>
      </c>
      <c r="AF7" s="47">
        <f>AF8+AF9</f>
        <v>35205.899999999994</v>
      </c>
      <c r="AG7" s="47">
        <f>AG8+AG9</f>
        <v>36729.4</v>
      </c>
    </row>
    <row r="8" spans="1:33" s="7" customFormat="1" ht="12.75">
      <c r="A8" s="38" t="s">
        <v>325</v>
      </c>
      <c r="B8" s="38" t="s">
        <v>122</v>
      </c>
      <c r="C8" s="125"/>
      <c r="D8" s="126"/>
      <c r="E8" s="126"/>
      <c r="F8" s="126"/>
      <c r="G8" s="125"/>
      <c r="H8" s="40">
        <v>13867.3</v>
      </c>
      <c r="I8" s="40">
        <v>15405.6</v>
      </c>
      <c r="J8" s="41">
        <v>16649.4</v>
      </c>
      <c r="K8" s="39">
        <v>16827.6</v>
      </c>
      <c r="L8" s="40">
        <v>16280.5</v>
      </c>
      <c r="M8" s="40">
        <v>16149.1</v>
      </c>
      <c r="N8" s="41">
        <v>16632.600000000002</v>
      </c>
      <c r="O8" s="39">
        <v>16315.9</v>
      </c>
      <c r="P8" s="40">
        <v>16843.7</v>
      </c>
      <c r="Q8" s="40">
        <v>17914.1</v>
      </c>
      <c r="R8" s="41">
        <v>18405.8</v>
      </c>
      <c r="S8" s="39">
        <v>18727.7</v>
      </c>
      <c r="T8" s="40">
        <v>19803.800000000003</v>
      </c>
      <c r="U8" s="40">
        <v>21189.2</v>
      </c>
      <c r="V8" s="41">
        <v>23323.9</v>
      </c>
      <c r="W8" s="39">
        <v>28645.899999999998</v>
      </c>
      <c r="X8" s="40">
        <v>28547.800000000007</v>
      </c>
      <c r="Y8" s="40">
        <v>28858.4</v>
      </c>
      <c r="Z8" s="41">
        <v>28500.4</v>
      </c>
      <c r="AA8" s="39">
        <v>28213.1</v>
      </c>
      <c r="AB8" s="40">
        <v>28757.200000000004</v>
      </c>
      <c r="AC8" s="40">
        <v>29791.7</v>
      </c>
      <c r="AD8" s="41">
        <v>29663.1</v>
      </c>
      <c r="AE8" s="40">
        <f>31419-38.1</f>
        <v>31380.9</v>
      </c>
      <c r="AF8" s="40">
        <v>33337.99999999999</v>
      </c>
      <c r="AG8" s="40">
        <v>34873.1</v>
      </c>
    </row>
    <row r="9" spans="1:33" s="4" customFormat="1" ht="12.75">
      <c r="A9" s="88" t="s">
        <v>326</v>
      </c>
      <c r="B9" s="88" t="s">
        <v>123</v>
      </c>
      <c r="C9" s="125"/>
      <c r="D9" s="126"/>
      <c r="E9" s="126"/>
      <c r="F9" s="126"/>
      <c r="G9" s="125"/>
      <c r="H9" s="40">
        <v>223.2</v>
      </c>
      <c r="I9" s="40">
        <v>260.5</v>
      </c>
      <c r="J9" s="41">
        <v>347.7</v>
      </c>
      <c r="K9" s="39">
        <v>745.9</v>
      </c>
      <c r="L9" s="40">
        <v>856.3</v>
      </c>
      <c r="M9" s="40">
        <v>794.6</v>
      </c>
      <c r="N9" s="41">
        <v>972</v>
      </c>
      <c r="O9" s="39">
        <v>1039.7</v>
      </c>
      <c r="P9" s="40">
        <v>1046.6</v>
      </c>
      <c r="Q9" s="40">
        <v>1139.2</v>
      </c>
      <c r="R9" s="41">
        <v>1177.6</v>
      </c>
      <c r="S9" s="39">
        <v>1184.7</v>
      </c>
      <c r="T9" s="40">
        <v>1146.3</v>
      </c>
      <c r="U9" s="40">
        <v>1189.3</v>
      </c>
      <c r="V9" s="41">
        <v>1133.2</v>
      </c>
      <c r="W9" s="39">
        <v>1181.5</v>
      </c>
      <c r="X9" s="40">
        <v>1524.5</v>
      </c>
      <c r="Y9" s="40">
        <v>1524.3</v>
      </c>
      <c r="Z9" s="41">
        <v>1377.3</v>
      </c>
      <c r="AA9" s="39">
        <v>1497.1000000000001</v>
      </c>
      <c r="AB9" s="40">
        <v>1669</v>
      </c>
      <c r="AC9" s="40">
        <v>1711.2</v>
      </c>
      <c r="AD9" s="41">
        <v>1813.6000000000001</v>
      </c>
      <c r="AE9" s="40">
        <f>1878.5+38.1</f>
        <v>1916.6</v>
      </c>
      <c r="AF9" s="40">
        <v>1867.8999999999999</v>
      </c>
      <c r="AG9" s="40">
        <v>1856.3</v>
      </c>
    </row>
    <row r="10" spans="1:33" s="9" customFormat="1" ht="12.75">
      <c r="A10" s="98" t="s">
        <v>327</v>
      </c>
      <c r="B10" s="98" t="s">
        <v>124</v>
      </c>
      <c r="C10" s="123"/>
      <c r="D10" s="124"/>
      <c r="E10" s="124"/>
      <c r="F10" s="124"/>
      <c r="G10" s="123"/>
      <c r="H10" s="47">
        <f aca="true" t="shared" si="1" ref="H10:Z10">SUM(H11:H13)</f>
        <v>268.40000000000003</v>
      </c>
      <c r="I10" s="47">
        <f t="shared" si="1"/>
        <v>271.5</v>
      </c>
      <c r="J10" s="48">
        <f t="shared" si="1"/>
        <v>338.7</v>
      </c>
      <c r="K10" s="46">
        <f t="shared" si="1"/>
        <v>500.6</v>
      </c>
      <c r="L10" s="47">
        <f t="shared" si="1"/>
        <v>571.7</v>
      </c>
      <c r="M10" s="47">
        <f t="shared" si="1"/>
        <v>613.6999999999999</v>
      </c>
      <c r="N10" s="48">
        <f t="shared" si="1"/>
        <v>668.7</v>
      </c>
      <c r="O10" s="46">
        <f t="shared" si="1"/>
        <v>697.6</v>
      </c>
      <c r="P10" s="47">
        <f t="shared" si="1"/>
        <v>726.6</v>
      </c>
      <c r="Q10" s="47">
        <f t="shared" si="1"/>
        <v>765.4</v>
      </c>
      <c r="R10" s="48">
        <f t="shared" si="1"/>
        <v>785.8000000000001</v>
      </c>
      <c r="S10" s="46">
        <f t="shared" si="1"/>
        <v>795.4</v>
      </c>
      <c r="T10" s="47">
        <f t="shared" si="1"/>
        <v>798.9</v>
      </c>
      <c r="U10" s="47">
        <f t="shared" si="1"/>
        <v>818.6999999999999</v>
      </c>
      <c r="V10" s="48">
        <f t="shared" si="1"/>
        <v>736.6</v>
      </c>
      <c r="W10" s="46">
        <f t="shared" si="1"/>
        <v>805.5999999999999</v>
      </c>
      <c r="X10" s="47">
        <f t="shared" si="1"/>
        <v>877.5</v>
      </c>
      <c r="Y10" s="47">
        <f t="shared" si="1"/>
        <v>927.4</v>
      </c>
      <c r="Z10" s="48">
        <f t="shared" si="1"/>
        <v>975.8</v>
      </c>
      <c r="AA10" s="46">
        <f aca="true" t="shared" si="2" ref="AA10:AF10">SUM(AA11:AA13)</f>
        <v>985.9</v>
      </c>
      <c r="AB10" s="47">
        <f t="shared" si="2"/>
        <v>1027.2999999999997</v>
      </c>
      <c r="AC10" s="47">
        <f t="shared" si="2"/>
        <v>1038.7</v>
      </c>
      <c r="AD10" s="48">
        <f t="shared" si="2"/>
        <v>1081</v>
      </c>
      <c r="AE10" s="47">
        <f t="shared" si="2"/>
        <v>1127.7</v>
      </c>
      <c r="AF10" s="47">
        <f t="shared" si="2"/>
        <v>1091.6000000000001</v>
      </c>
      <c r="AG10" s="47">
        <f>SUM(AG11:AG13)</f>
        <v>1127.6</v>
      </c>
    </row>
    <row r="11" spans="1:33" s="9" customFormat="1" ht="12.75">
      <c r="A11" s="88" t="s">
        <v>328</v>
      </c>
      <c r="B11" s="88" t="s">
        <v>125</v>
      </c>
      <c r="C11" s="125"/>
      <c r="D11" s="126"/>
      <c r="E11" s="126"/>
      <c r="F11" s="126"/>
      <c r="G11" s="125"/>
      <c r="H11" s="40">
        <v>77.3</v>
      </c>
      <c r="I11" s="40">
        <v>71.3</v>
      </c>
      <c r="J11" s="41">
        <v>71.2</v>
      </c>
      <c r="K11" s="39">
        <v>75.3</v>
      </c>
      <c r="L11" s="40">
        <v>84.6</v>
      </c>
      <c r="M11" s="40">
        <v>96.5</v>
      </c>
      <c r="N11" s="41">
        <v>77.2</v>
      </c>
      <c r="O11" s="39">
        <v>76</v>
      </c>
      <c r="P11" s="40">
        <v>72.7</v>
      </c>
      <c r="Q11" s="40">
        <v>70.3</v>
      </c>
      <c r="R11" s="41">
        <v>62.1</v>
      </c>
      <c r="S11" s="39">
        <v>56</v>
      </c>
      <c r="T11" s="40">
        <v>60.3</v>
      </c>
      <c r="U11" s="40">
        <v>65.9</v>
      </c>
      <c r="V11" s="41">
        <v>63</v>
      </c>
      <c r="W11" s="39">
        <v>79.4</v>
      </c>
      <c r="X11" s="40">
        <v>86.39999999999998</v>
      </c>
      <c r="Y11" s="40">
        <v>78.6</v>
      </c>
      <c r="Z11" s="41">
        <v>58</v>
      </c>
      <c r="AA11" s="39">
        <v>56.800000000000004</v>
      </c>
      <c r="AB11" s="40">
        <v>54.400000000000006</v>
      </c>
      <c r="AC11" s="40">
        <v>44.3</v>
      </c>
      <c r="AD11" s="41">
        <v>47.89999999999999</v>
      </c>
      <c r="AE11" s="40">
        <v>51.89999999999999</v>
      </c>
      <c r="AF11" s="40">
        <v>53.400000000000006</v>
      </c>
      <c r="AG11" s="40">
        <v>68.1</v>
      </c>
    </row>
    <row r="12" spans="1:33" s="9" customFormat="1" ht="12.75">
      <c r="A12" s="90" t="s">
        <v>329</v>
      </c>
      <c r="B12" s="90" t="s">
        <v>126</v>
      </c>
      <c r="C12" s="125"/>
      <c r="D12" s="126"/>
      <c r="E12" s="126"/>
      <c r="F12" s="126"/>
      <c r="G12" s="125"/>
      <c r="H12" s="40">
        <v>184.8</v>
      </c>
      <c r="I12" s="40">
        <v>192.9</v>
      </c>
      <c r="J12" s="41">
        <v>258.2</v>
      </c>
      <c r="K12" s="39">
        <v>408.8</v>
      </c>
      <c r="L12" s="40">
        <v>473.6</v>
      </c>
      <c r="M12" s="40">
        <v>502.3</v>
      </c>
      <c r="N12" s="41">
        <v>571.4</v>
      </c>
      <c r="O12" s="39">
        <v>604.2</v>
      </c>
      <c r="P12" s="40">
        <v>636.3</v>
      </c>
      <c r="Q12" s="40">
        <v>685.9</v>
      </c>
      <c r="R12" s="41">
        <v>712.6</v>
      </c>
      <c r="S12" s="39">
        <v>729.5</v>
      </c>
      <c r="T12" s="40">
        <v>728</v>
      </c>
      <c r="U12" s="40">
        <v>743.8</v>
      </c>
      <c r="V12" s="41">
        <v>663</v>
      </c>
      <c r="W12" s="39">
        <v>711.3</v>
      </c>
      <c r="X12" s="40">
        <v>773.5</v>
      </c>
      <c r="Y12" s="40">
        <v>828.9</v>
      </c>
      <c r="Z12" s="41">
        <v>895.5</v>
      </c>
      <c r="AA12" s="39">
        <v>905.6</v>
      </c>
      <c r="AB12" s="40">
        <v>945.6999999999998</v>
      </c>
      <c r="AC12" s="40">
        <v>978.0000000000001</v>
      </c>
      <c r="AD12" s="41">
        <v>1019.6</v>
      </c>
      <c r="AE12" s="40">
        <v>1061.8</v>
      </c>
      <c r="AF12" s="40">
        <v>1022</v>
      </c>
      <c r="AG12" s="40">
        <v>1043.2</v>
      </c>
    </row>
    <row r="13" spans="1:33" s="7" customFormat="1" ht="12.75">
      <c r="A13" s="90" t="s">
        <v>330</v>
      </c>
      <c r="B13" s="90" t="s">
        <v>127</v>
      </c>
      <c r="C13" s="125"/>
      <c r="D13" s="126"/>
      <c r="E13" s="126"/>
      <c r="F13" s="126"/>
      <c r="G13" s="125"/>
      <c r="H13" s="40">
        <v>6.3</v>
      </c>
      <c r="I13" s="40">
        <v>7.3</v>
      </c>
      <c r="J13" s="41">
        <v>9.3</v>
      </c>
      <c r="K13" s="39">
        <v>16.5</v>
      </c>
      <c r="L13" s="40">
        <v>13.5</v>
      </c>
      <c r="M13" s="40">
        <v>14.9</v>
      </c>
      <c r="N13" s="41">
        <v>20.1</v>
      </c>
      <c r="O13" s="39">
        <v>17.4</v>
      </c>
      <c r="P13" s="40">
        <v>17.6</v>
      </c>
      <c r="Q13" s="40">
        <v>9.2</v>
      </c>
      <c r="R13" s="41">
        <v>11.1</v>
      </c>
      <c r="S13" s="39">
        <v>9.9</v>
      </c>
      <c r="T13" s="40">
        <v>10.6</v>
      </c>
      <c r="U13" s="40">
        <v>9</v>
      </c>
      <c r="V13" s="41">
        <v>10.6</v>
      </c>
      <c r="W13" s="39">
        <v>14.9</v>
      </c>
      <c r="X13" s="40">
        <v>17.6</v>
      </c>
      <c r="Y13" s="40">
        <v>19.9</v>
      </c>
      <c r="Z13" s="41">
        <v>22.3</v>
      </c>
      <c r="AA13" s="39">
        <v>23.5</v>
      </c>
      <c r="AB13" s="40">
        <v>27.2</v>
      </c>
      <c r="AC13" s="40">
        <v>16.4</v>
      </c>
      <c r="AD13" s="41">
        <v>13.5</v>
      </c>
      <c r="AE13" s="40">
        <v>14</v>
      </c>
      <c r="AF13" s="40">
        <v>16.2</v>
      </c>
      <c r="AG13" s="40">
        <v>16.3</v>
      </c>
    </row>
    <row r="14" spans="1:33" s="7" customFormat="1" ht="12.75">
      <c r="A14" s="90" t="s">
        <v>331</v>
      </c>
      <c r="B14" s="90"/>
      <c r="C14" s="125"/>
      <c r="D14" s="126"/>
      <c r="E14" s="126"/>
      <c r="F14" s="126"/>
      <c r="G14" s="125"/>
      <c r="H14" s="40"/>
      <c r="I14" s="40"/>
      <c r="J14" s="41"/>
      <c r="K14" s="39"/>
      <c r="L14" s="40"/>
      <c r="M14" s="40"/>
      <c r="N14" s="41"/>
      <c r="O14" s="39"/>
      <c r="P14" s="40"/>
      <c r="Q14" s="40"/>
      <c r="R14" s="41"/>
      <c r="S14" s="39"/>
      <c r="T14" s="40"/>
      <c r="U14" s="40"/>
      <c r="V14" s="41"/>
      <c r="W14" s="39"/>
      <c r="X14" s="40"/>
      <c r="Y14" s="40"/>
      <c r="Z14" s="41"/>
      <c r="AA14" s="39"/>
      <c r="AB14" s="40"/>
      <c r="AC14" s="40"/>
      <c r="AD14" s="41"/>
      <c r="AE14" s="40"/>
      <c r="AF14" s="40"/>
      <c r="AG14" s="40"/>
    </row>
    <row r="15" spans="1:33" s="9" customFormat="1" ht="12.75">
      <c r="A15" s="90" t="s">
        <v>394</v>
      </c>
      <c r="B15" s="90" t="s">
        <v>440</v>
      </c>
      <c r="C15" s="127"/>
      <c r="D15" s="128"/>
      <c r="E15" s="128"/>
      <c r="F15" s="128"/>
      <c r="G15" s="127"/>
      <c r="H15" s="129">
        <f aca="true" t="shared" si="3" ref="H15:AB15">H9/H7</f>
        <v>0.01584045988431922</v>
      </c>
      <c r="I15" s="129">
        <f t="shared" si="3"/>
        <v>0.016628261022207186</v>
      </c>
      <c r="J15" s="130">
        <f t="shared" si="3"/>
        <v>0.020456430802901666</v>
      </c>
      <c r="K15" s="131">
        <f t="shared" si="3"/>
        <v>0.04244458986542237</v>
      </c>
      <c r="L15" s="129">
        <f t="shared" si="3"/>
        <v>0.04996848886606601</v>
      </c>
      <c r="M15" s="129">
        <f t="shared" si="3"/>
        <v>0.046896486599739134</v>
      </c>
      <c r="N15" s="130">
        <f t="shared" si="3"/>
        <v>0.055212842098087994</v>
      </c>
      <c r="O15" s="131">
        <f t="shared" si="3"/>
        <v>0.05990573647698726</v>
      </c>
      <c r="P15" s="129">
        <f t="shared" si="3"/>
        <v>0.05850097538889789</v>
      </c>
      <c r="Q15" s="129">
        <f t="shared" si="3"/>
        <v>0.05979016758251852</v>
      </c>
      <c r="R15" s="130">
        <f t="shared" si="3"/>
        <v>0.06013256125085532</v>
      </c>
      <c r="S15" s="131">
        <f t="shared" si="3"/>
        <v>0.05949559068720998</v>
      </c>
      <c r="T15" s="129">
        <f t="shared" si="3"/>
        <v>0.05471572928052849</v>
      </c>
      <c r="U15" s="129">
        <f t="shared" si="3"/>
        <v>0.05314475947896418</v>
      </c>
      <c r="V15" s="130">
        <f>V9/V7</f>
        <v>0.04633419334262852</v>
      </c>
      <c r="W15" s="131">
        <f t="shared" si="3"/>
        <v>0.03961122994293838</v>
      </c>
      <c r="X15" s="129">
        <f t="shared" si="3"/>
        <v>0.05069449293868443</v>
      </c>
      <c r="Y15" s="129">
        <f t="shared" si="3"/>
        <v>0.05016999805810543</v>
      </c>
      <c r="Z15" s="130">
        <f t="shared" si="3"/>
        <v>0.04609792587782861</v>
      </c>
      <c r="AA15" s="131">
        <f t="shared" si="3"/>
        <v>0.050390101715909026</v>
      </c>
      <c r="AB15" s="129">
        <f t="shared" si="3"/>
        <v>0.05485404026792698</v>
      </c>
      <c r="AC15" s="129">
        <f>AC9/AC7</f>
        <v>0.054318808744591766</v>
      </c>
      <c r="AD15" s="130">
        <f>AD9/AD7</f>
        <v>0.05761722162742601</v>
      </c>
      <c r="AE15" s="129">
        <f>AE9/AE7</f>
        <v>0.057559876867632705</v>
      </c>
      <c r="AF15" s="129">
        <f>AF9/AF7</f>
        <v>0.05305644792492168</v>
      </c>
      <c r="AG15" s="129">
        <f>AG9/AG7</f>
        <v>0.050539894471458825</v>
      </c>
    </row>
    <row r="16" spans="1:33" s="9" customFormat="1" ht="12.75">
      <c r="A16" s="90" t="s">
        <v>332</v>
      </c>
      <c r="B16" s="90" t="s">
        <v>441</v>
      </c>
      <c r="C16" s="127"/>
      <c r="D16" s="128"/>
      <c r="E16" s="128"/>
      <c r="F16" s="128"/>
      <c r="G16" s="127"/>
      <c r="H16" s="129">
        <f aca="true" t="shared" si="4" ref="H16:AB16">H12/H9</f>
        <v>0.8279569892473119</v>
      </c>
      <c r="I16" s="129">
        <f t="shared" si="4"/>
        <v>0.7404990403071018</v>
      </c>
      <c r="J16" s="130">
        <f t="shared" si="4"/>
        <v>0.7425941903940179</v>
      </c>
      <c r="K16" s="131">
        <f t="shared" si="4"/>
        <v>0.5480627429950395</v>
      </c>
      <c r="L16" s="129">
        <f t="shared" si="4"/>
        <v>0.5530771925726965</v>
      </c>
      <c r="M16" s="129">
        <f t="shared" si="4"/>
        <v>0.6321419582179713</v>
      </c>
      <c r="N16" s="130">
        <f t="shared" si="4"/>
        <v>0.5878600823045267</v>
      </c>
      <c r="O16" s="131">
        <f t="shared" si="4"/>
        <v>0.5811291718765028</v>
      </c>
      <c r="P16" s="129">
        <f t="shared" si="4"/>
        <v>0.6079686604242308</v>
      </c>
      <c r="Q16" s="129">
        <f t="shared" si="4"/>
        <v>0.6020891853932584</v>
      </c>
      <c r="R16" s="130">
        <f t="shared" si="4"/>
        <v>0.6051290760869565</v>
      </c>
      <c r="S16" s="131">
        <f t="shared" si="4"/>
        <v>0.6157677049041951</v>
      </c>
      <c r="T16" s="129">
        <f t="shared" si="4"/>
        <v>0.6350868010119515</v>
      </c>
      <c r="U16" s="129">
        <f t="shared" si="4"/>
        <v>0.6254099049861263</v>
      </c>
      <c r="V16" s="130">
        <f>V12/V9</f>
        <v>0.5850688316272502</v>
      </c>
      <c r="W16" s="131">
        <f t="shared" si="4"/>
        <v>0.6020313161235717</v>
      </c>
      <c r="X16" s="129">
        <f t="shared" si="4"/>
        <v>0.5073794686782551</v>
      </c>
      <c r="Y16" s="129">
        <f t="shared" si="4"/>
        <v>0.5437905924030703</v>
      </c>
      <c r="Z16" s="130">
        <f t="shared" si="4"/>
        <v>0.6501851448486169</v>
      </c>
      <c r="AA16" s="131">
        <f t="shared" si="4"/>
        <v>0.6049028121033999</v>
      </c>
      <c r="AB16" s="129">
        <f t="shared" si="4"/>
        <v>0.5666267225883762</v>
      </c>
      <c r="AC16" s="129">
        <f>AC12/AC9</f>
        <v>0.5715287517531558</v>
      </c>
      <c r="AD16" s="130">
        <f>AD12/AD9</f>
        <v>0.5621967357741509</v>
      </c>
      <c r="AE16" s="129">
        <f>AE12/AE9</f>
        <v>0.5540018783262026</v>
      </c>
      <c r="AF16" s="129">
        <f>AF12/AF9</f>
        <v>0.5471384977782537</v>
      </c>
      <c r="AG16" s="129">
        <f>AG12/AG9</f>
        <v>0.5619781285352583</v>
      </c>
    </row>
    <row r="17" spans="1:33" s="9" customFormat="1" ht="12.75">
      <c r="A17" s="90"/>
      <c r="B17" s="90"/>
      <c r="C17" s="125"/>
      <c r="D17" s="126"/>
      <c r="E17" s="126"/>
      <c r="F17" s="126"/>
      <c r="G17" s="125"/>
      <c r="H17" s="40"/>
      <c r="I17" s="40"/>
      <c r="J17" s="41"/>
      <c r="K17" s="39"/>
      <c r="L17" s="40"/>
      <c r="M17" s="40"/>
      <c r="N17" s="41"/>
      <c r="O17" s="39"/>
      <c r="P17" s="40"/>
      <c r="Q17" s="40"/>
      <c r="R17" s="41"/>
      <c r="S17" s="39"/>
      <c r="T17" s="40"/>
      <c r="U17" s="40"/>
      <c r="V17" s="41"/>
      <c r="W17" s="39"/>
      <c r="X17" s="40"/>
      <c r="Y17" s="40"/>
      <c r="Z17" s="41"/>
      <c r="AA17" s="39"/>
      <c r="AB17" s="40"/>
      <c r="AC17" s="40"/>
      <c r="AD17" s="41"/>
      <c r="AE17" s="40"/>
      <c r="AF17" s="40"/>
      <c r="AG17" s="40"/>
    </row>
    <row r="18" spans="1:33" s="9" customFormat="1" ht="12.75">
      <c r="A18" s="98" t="s">
        <v>333</v>
      </c>
      <c r="B18" s="98" t="s">
        <v>128</v>
      </c>
      <c r="C18" s="125"/>
      <c r="D18" s="126"/>
      <c r="E18" s="126"/>
      <c r="F18" s="126"/>
      <c r="G18" s="125"/>
      <c r="H18" s="40"/>
      <c r="I18" s="40"/>
      <c r="J18" s="41"/>
      <c r="K18" s="39"/>
      <c r="L18" s="40"/>
      <c r="M18" s="40"/>
      <c r="N18" s="41"/>
      <c r="O18" s="39"/>
      <c r="P18" s="40"/>
      <c r="Q18" s="40"/>
      <c r="R18" s="41"/>
      <c r="S18" s="39"/>
      <c r="T18" s="40"/>
      <c r="U18" s="40"/>
      <c r="V18" s="41"/>
      <c r="W18" s="39"/>
      <c r="X18" s="40"/>
      <c r="Y18" s="40"/>
      <c r="Z18" s="41"/>
      <c r="AA18" s="39"/>
      <c r="AB18" s="40"/>
      <c r="AC18" s="40"/>
      <c r="AD18" s="41"/>
      <c r="AE18" s="40"/>
      <c r="AF18" s="40"/>
      <c r="AG18" s="40"/>
    </row>
    <row r="19" spans="1:33" s="9" customFormat="1" ht="12.75">
      <c r="A19" s="98" t="s">
        <v>324</v>
      </c>
      <c r="B19" s="98" t="s">
        <v>121</v>
      </c>
      <c r="C19" s="123"/>
      <c r="D19" s="124"/>
      <c r="E19" s="124"/>
      <c r="F19" s="124"/>
      <c r="G19" s="123"/>
      <c r="H19" s="47">
        <f aca="true" t="shared" si="5" ref="H19:AB19">H20+H21</f>
        <v>5723.8</v>
      </c>
      <c r="I19" s="47">
        <f t="shared" si="5"/>
        <v>6439.6</v>
      </c>
      <c r="J19" s="48">
        <f t="shared" si="5"/>
        <v>7300.900000000001</v>
      </c>
      <c r="K19" s="46">
        <f t="shared" si="5"/>
        <v>8041</v>
      </c>
      <c r="L19" s="47">
        <f t="shared" si="5"/>
        <v>8639.8</v>
      </c>
      <c r="M19" s="47">
        <f t="shared" si="5"/>
        <v>9190.2</v>
      </c>
      <c r="N19" s="48">
        <f t="shared" si="5"/>
        <v>9756.800000000001</v>
      </c>
      <c r="O19" s="46">
        <f t="shared" si="5"/>
        <v>10220.7</v>
      </c>
      <c r="P19" s="47">
        <f t="shared" si="5"/>
        <v>11104.1</v>
      </c>
      <c r="Q19" s="47">
        <f t="shared" si="5"/>
        <v>11614.3</v>
      </c>
      <c r="R19" s="48">
        <f t="shared" si="5"/>
        <v>12594.8</v>
      </c>
      <c r="S19" s="46">
        <f t="shared" si="5"/>
        <v>13076.2</v>
      </c>
      <c r="T19" s="47">
        <f t="shared" si="5"/>
        <v>13804.3</v>
      </c>
      <c r="U19" s="47">
        <f t="shared" si="5"/>
        <v>14540.6</v>
      </c>
      <c r="V19" s="48">
        <f t="shared" si="5"/>
        <v>15008.9</v>
      </c>
      <c r="W19" s="46">
        <f t="shared" si="5"/>
        <v>15278.5</v>
      </c>
      <c r="X19" s="47">
        <f t="shared" si="5"/>
        <v>15835.199999999999</v>
      </c>
      <c r="Y19" s="47">
        <f t="shared" si="5"/>
        <v>16362.1</v>
      </c>
      <c r="Z19" s="48">
        <f t="shared" si="5"/>
        <v>16632</v>
      </c>
      <c r="AA19" s="46">
        <f t="shared" si="5"/>
        <v>16960</v>
      </c>
      <c r="AB19" s="47">
        <f t="shared" si="5"/>
        <v>17710.4</v>
      </c>
      <c r="AC19" s="47">
        <f>AC20+AC21</f>
        <v>18261.5</v>
      </c>
      <c r="AD19" s="48">
        <f>AD20+AD21</f>
        <v>18505.5</v>
      </c>
      <c r="AE19" s="47">
        <f>AE20+AE21</f>
        <v>19048.6</v>
      </c>
      <c r="AF19" s="47">
        <f>AF20+AF21</f>
        <v>19893.1</v>
      </c>
      <c r="AG19" s="47">
        <f>AG20+AG21</f>
        <v>21021.3</v>
      </c>
    </row>
    <row r="20" spans="1:33" s="9" customFormat="1" ht="12.75">
      <c r="A20" s="38" t="s">
        <v>325</v>
      </c>
      <c r="B20" s="38" t="s">
        <v>122</v>
      </c>
      <c r="C20" s="125"/>
      <c r="D20" s="126"/>
      <c r="E20" s="126"/>
      <c r="F20" s="126"/>
      <c r="G20" s="125"/>
      <c r="H20" s="40">
        <v>5582.2</v>
      </c>
      <c r="I20" s="40">
        <v>6306.1</v>
      </c>
      <c r="J20" s="41">
        <v>7146.3</v>
      </c>
      <c r="K20" s="39">
        <v>7889</v>
      </c>
      <c r="L20" s="40">
        <v>8469.5</v>
      </c>
      <c r="M20" s="40">
        <v>9018.2</v>
      </c>
      <c r="N20" s="41">
        <v>9564.1</v>
      </c>
      <c r="O20" s="39">
        <v>9982.2</v>
      </c>
      <c r="P20" s="40">
        <v>10841.9</v>
      </c>
      <c r="Q20" s="40">
        <v>11323</v>
      </c>
      <c r="R20" s="41">
        <v>12264.8</v>
      </c>
      <c r="S20" s="39">
        <v>12736</v>
      </c>
      <c r="T20" s="40">
        <v>13432.4</v>
      </c>
      <c r="U20" s="40">
        <v>14140.6</v>
      </c>
      <c r="V20" s="41">
        <v>14589.1</v>
      </c>
      <c r="W20" s="39">
        <v>14837.9</v>
      </c>
      <c r="X20" s="40">
        <v>15370.199999999999</v>
      </c>
      <c r="Y20" s="40">
        <v>15863.2</v>
      </c>
      <c r="Z20" s="41">
        <v>16114.3</v>
      </c>
      <c r="AA20" s="39">
        <v>16421.8</v>
      </c>
      <c r="AB20" s="40">
        <v>17092.2</v>
      </c>
      <c r="AC20" s="40">
        <v>17778.4</v>
      </c>
      <c r="AD20" s="41">
        <v>18004.5</v>
      </c>
      <c r="AE20" s="40">
        <v>18532</v>
      </c>
      <c r="AF20" s="40">
        <v>19363</v>
      </c>
      <c r="AG20" s="40">
        <v>20470.8</v>
      </c>
    </row>
    <row r="21" spans="1:33" s="9" customFormat="1" ht="12.75">
      <c r="A21" s="38" t="s">
        <v>326</v>
      </c>
      <c r="B21" s="38" t="s">
        <v>123</v>
      </c>
      <c r="C21" s="125"/>
      <c r="D21" s="126"/>
      <c r="E21" s="126"/>
      <c r="F21" s="126"/>
      <c r="G21" s="125"/>
      <c r="H21" s="40">
        <v>141.6</v>
      </c>
      <c r="I21" s="40">
        <v>133.5</v>
      </c>
      <c r="J21" s="41">
        <v>154.6</v>
      </c>
      <c r="K21" s="39">
        <v>152</v>
      </c>
      <c r="L21" s="40">
        <v>170.3</v>
      </c>
      <c r="M21" s="40">
        <v>172</v>
      </c>
      <c r="N21" s="41">
        <v>192.7</v>
      </c>
      <c r="O21" s="39">
        <v>238.5</v>
      </c>
      <c r="P21" s="40">
        <v>262.2</v>
      </c>
      <c r="Q21" s="40">
        <v>291.3</v>
      </c>
      <c r="R21" s="41">
        <v>330</v>
      </c>
      <c r="S21" s="39">
        <v>340.2</v>
      </c>
      <c r="T21" s="40">
        <v>371.9</v>
      </c>
      <c r="U21" s="40">
        <v>400</v>
      </c>
      <c r="V21" s="41">
        <v>419.8</v>
      </c>
      <c r="W21" s="39">
        <v>440.6</v>
      </c>
      <c r="X21" s="40">
        <v>465</v>
      </c>
      <c r="Y21" s="40">
        <v>498.90000000000003</v>
      </c>
      <c r="Z21" s="41">
        <v>517.7</v>
      </c>
      <c r="AA21" s="39">
        <v>538.2</v>
      </c>
      <c r="AB21" s="40">
        <v>618.2</v>
      </c>
      <c r="AC21" s="40">
        <v>483.1</v>
      </c>
      <c r="AD21" s="41">
        <v>501</v>
      </c>
      <c r="AE21" s="40">
        <v>516.6</v>
      </c>
      <c r="AF21" s="40">
        <v>530.1</v>
      </c>
      <c r="AG21" s="40">
        <v>550.5</v>
      </c>
    </row>
    <row r="22" spans="1:33" ht="12.75">
      <c r="A22" s="98" t="s">
        <v>327</v>
      </c>
      <c r="B22" s="98" t="s">
        <v>124</v>
      </c>
      <c r="C22" s="123"/>
      <c r="D22" s="124"/>
      <c r="E22" s="124"/>
      <c r="F22" s="124"/>
      <c r="G22" s="123"/>
      <c r="H22" s="47">
        <f aca="true" t="shared" si="6" ref="H22:X22">SUM(H23:H25)</f>
        <v>132.7</v>
      </c>
      <c r="I22" s="47">
        <f t="shared" si="6"/>
        <v>141.2</v>
      </c>
      <c r="J22" s="48">
        <f t="shared" si="6"/>
        <v>164.2</v>
      </c>
      <c r="K22" s="46">
        <f t="shared" si="6"/>
        <v>180.7</v>
      </c>
      <c r="L22" s="47">
        <f t="shared" si="6"/>
        <v>198.29999999999998</v>
      </c>
      <c r="M22" s="47">
        <f t="shared" si="6"/>
        <v>202.6</v>
      </c>
      <c r="N22" s="48">
        <f t="shared" si="6"/>
        <v>224.1</v>
      </c>
      <c r="O22" s="46">
        <f t="shared" si="6"/>
        <v>246</v>
      </c>
      <c r="P22" s="47">
        <f t="shared" si="6"/>
        <v>259</v>
      </c>
      <c r="Q22" s="47">
        <f t="shared" si="6"/>
        <v>280.9</v>
      </c>
      <c r="R22" s="48">
        <f t="shared" si="6"/>
        <v>305.5</v>
      </c>
      <c r="S22" s="46">
        <f t="shared" si="6"/>
        <v>334.9</v>
      </c>
      <c r="T22" s="47">
        <f t="shared" si="6"/>
        <v>348.7</v>
      </c>
      <c r="U22" s="47">
        <f t="shared" si="6"/>
        <v>369.59999999999997</v>
      </c>
      <c r="V22" s="48">
        <f t="shared" si="6"/>
        <v>382.79999999999995</v>
      </c>
      <c r="W22" s="46">
        <f t="shared" si="6"/>
        <v>400.9</v>
      </c>
      <c r="X22" s="47">
        <f t="shared" si="6"/>
        <v>426.70000000000005</v>
      </c>
      <c r="Y22" s="47">
        <f aca="true" t="shared" si="7" ref="Y22:AD22">SUM(Y23:Y25)</f>
        <v>447.2</v>
      </c>
      <c r="Z22" s="48">
        <f t="shared" si="7"/>
        <v>470.5</v>
      </c>
      <c r="AA22" s="46">
        <f t="shared" si="7"/>
        <v>506.59999999999997</v>
      </c>
      <c r="AB22" s="47">
        <f t="shared" si="7"/>
        <v>569.4</v>
      </c>
      <c r="AC22" s="47">
        <f t="shared" si="7"/>
        <v>470.6</v>
      </c>
      <c r="AD22" s="48">
        <f t="shared" si="7"/>
        <v>486.9</v>
      </c>
      <c r="AE22" s="47">
        <f>SUM(AE23:AE25)</f>
        <v>525</v>
      </c>
      <c r="AF22" s="47">
        <f>SUM(AF23:AF25)</f>
        <v>536.8000000000001</v>
      </c>
      <c r="AG22" s="47">
        <f>SUM(AG23:AG25)</f>
        <v>550.1999999999999</v>
      </c>
    </row>
    <row r="23" spans="1:33" ht="12.75">
      <c r="A23" s="88" t="s">
        <v>328</v>
      </c>
      <c r="B23" s="88" t="s">
        <v>129</v>
      </c>
      <c r="C23" s="125"/>
      <c r="D23" s="126"/>
      <c r="E23" s="126"/>
      <c r="F23" s="126"/>
      <c r="G23" s="125"/>
      <c r="H23" s="40">
        <v>28.5</v>
      </c>
      <c r="I23" s="40">
        <v>32.8</v>
      </c>
      <c r="J23" s="41">
        <v>44.9</v>
      </c>
      <c r="K23" s="39">
        <v>51.7</v>
      </c>
      <c r="L23" s="40">
        <v>56.6</v>
      </c>
      <c r="M23" s="40">
        <v>63.9</v>
      </c>
      <c r="N23" s="41">
        <v>75.9</v>
      </c>
      <c r="O23" s="39">
        <v>85.6</v>
      </c>
      <c r="P23" s="40">
        <v>88.1</v>
      </c>
      <c r="Q23" s="40">
        <v>92.2</v>
      </c>
      <c r="R23" s="41">
        <v>90.1</v>
      </c>
      <c r="S23" s="39">
        <v>98.4</v>
      </c>
      <c r="T23" s="40">
        <v>97.8</v>
      </c>
      <c r="U23" s="40">
        <v>98.7</v>
      </c>
      <c r="V23" s="41">
        <v>96.9</v>
      </c>
      <c r="W23" s="39">
        <v>95.89999999999999</v>
      </c>
      <c r="X23" s="40">
        <v>96.9</v>
      </c>
      <c r="Y23" s="40">
        <v>96</v>
      </c>
      <c r="Z23" s="41">
        <v>70.39999999999999</v>
      </c>
      <c r="AA23" s="39">
        <v>86.5</v>
      </c>
      <c r="AB23" s="40">
        <v>91.3</v>
      </c>
      <c r="AC23" s="40">
        <v>105.19999999999999</v>
      </c>
      <c r="AD23" s="41">
        <v>103.5</v>
      </c>
      <c r="AE23" s="40">
        <v>108.3</v>
      </c>
      <c r="AF23" s="40">
        <v>106.60000000000001</v>
      </c>
      <c r="AG23" s="40">
        <v>103.8</v>
      </c>
    </row>
    <row r="24" spans="1:33" ht="12.75">
      <c r="A24" s="38" t="s">
        <v>329</v>
      </c>
      <c r="B24" s="38" t="s">
        <v>130</v>
      </c>
      <c r="C24" s="125"/>
      <c r="D24" s="126"/>
      <c r="E24" s="126"/>
      <c r="F24" s="126"/>
      <c r="G24" s="125"/>
      <c r="H24" s="40">
        <v>104.2</v>
      </c>
      <c r="I24" s="40">
        <v>108.4</v>
      </c>
      <c r="J24" s="41">
        <v>119.3</v>
      </c>
      <c r="K24" s="39">
        <v>129</v>
      </c>
      <c r="L24" s="40">
        <v>141.7</v>
      </c>
      <c r="M24" s="40">
        <v>138.7</v>
      </c>
      <c r="N24" s="41">
        <v>148.2</v>
      </c>
      <c r="O24" s="39">
        <v>160.4</v>
      </c>
      <c r="P24" s="40">
        <v>170.9</v>
      </c>
      <c r="Q24" s="40">
        <v>188.7</v>
      </c>
      <c r="R24" s="41">
        <v>215.4</v>
      </c>
      <c r="S24" s="39">
        <v>236.5</v>
      </c>
      <c r="T24" s="40">
        <v>250.9</v>
      </c>
      <c r="U24" s="40">
        <v>270.9</v>
      </c>
      <c r="V24" s="41">
        <v>285.9</v>
      </c>
      <c r="W24" s="39">
        <v>305</v>
      </c>
      <c r="X24" s="40">
        <v>329.8</v>
      </c>
      <c r="Y24" s="40">
        <v>351.2</v>
      </c>
      <c r="Z24" s="41">
        <v>400.1</v>
      </c>
      <c r="AA24" s="39">
        <v>420.09999999999997</v>
      </c>
      <c r="AB24" s="40">
        <v>478.1</v>
      </c>
      <c r="AC24" s="40">
        <v>365.40000000000003</v>
      </c>
      <c r="AD24" s="41">
        <v>383.4</v>
      </c>
      <c r="AE24" s="40">
        <v>416.7</v>
      </c>
      <c r="AF24" s="40">
        <v>430.20000000000005</v>
      </c>
      <c r="AG24" s="40">
        <v>446.4</v>
      </c>
    </row>
    <row r="25" spans="1:33" s="7" customFormat="1" ht="12.75">
      <c r="A25" s="38" t="s">
        <v>330</v>
      </c>
      <c r="B25" s="38" t="s">
        <v>127</v>
      </c>
      <c r="C25" s="125"/>
      <c r="D25" s="126"/>
      <c r="E25" s="126"/>
      <c r="F25" s="126"/>
      <c r="G25" s="125"/>
      <c r="H25" s="40">
        <v>0</v>
      </c>
      <c r="I25" s="40">
        <v>0</v>
      </c>
      <c r="J25" s="41">
        <v>0</v>
      </c>
      <c r="K25" s="39">
        <v>0</v>
      </c>
      <c r="L25" s="40">
        <v>0</v>
      </c>
      <c r="M25" s="40">
        <v>0</v>
      </c>
      <c r="N25" s="41">
        <v>0</v>
      </c>
      <c r="O25" s="39">
        <v>0</v>
      </c>
      <c r="P25" s="40">
        <v>0</v>
      </c>
      <c r="Q25" s="40">
        <v>0</v>
      </c>
      <c r="R25" s="41">
        <v>0</v>
      </c>
      <c r="S25" s="39">
        <v>0</v>
      </c>
      <c r="T25" s="40">
        <v>0</v>
      </c>
      <c r="U25" s="40">
        <v>0</v>
      </c>
      <c r="V25" s="41">
        <v>0</v>
      </c>
      <c r="W25" s="39">
        <v>0</v>
      </c>
      <c r="X25" s="40">
        <v>0</v>
      </c>
      <c r="Y25" s="40">
        <v>0</v>
      </c>
      <c r="Z25" s="41">
        <v>0</v>
      </c>
      <c r="AA25" s="39">
        <v>0</v>
      </c>
      <c r="AB25" s="40">
        <v>0</v>
      </c>
      <c r="AC25" s="40">
        <v>0</v>
      </c>
      <c r="AD25" s="41">
        <v>0</v>
      </c>
      <c r="AE25" s="40">
        <v>0</v>
      </c>
      <c r="AF25" s="40">
        <v>0</v>
      </c>
      <c r="AG25" s="40">
        <v>0</v>
      </c>
    </row>
    <row r="26" spans="1:33" ht="12.75">
      <c r="A26" s="38" t="s">
        <v>331</v>
      </c>
      <c r="B26" s="38"/>
      <c r="C26" s="125"/>
      <c r="D26" s="126"/>
      <c r="E26" s="126"/>
      <c r="F26" s="126"/>
      <c r="G26" s="125"/>
      <c r="H26" s="40"/>
      <c r="I26" s="40"/>
      <c r="J26" s="41"/>
      <c r="K26" s="39"/>
      <c r="L26" s="40"/>
      <c r="M26" s="40"/>
      <c r="N26" s="41"/>
      <c r="O26" s="39"/>
      <c r="P26" s="40"/>
      <c r="Q26" s="40"/>
      <c r="R26" s="41"/>
      <c r="S26" s="39"/>
      <c r="T26" s="40"/>
      <c r="U26" s="40"/>
      <c r="V26" s="41"/>
      <c r="W26" s="39"/>
      <c r="X26" s="40"/>
      <c r="Y26" s="40"/>
      <c r="Z26" s="41"/>
      <c r="AA26" s="39"/>
      <c r="AB26" s="40"/>
      <c r="AC26" s="40"/>
      <c r="AD26" s="41"/>
      <c r="AE26" s="40"/>
      <c r="AF26" s="40"/>
      <c r="AG26" s="40"/>
    </row>
    <row r="27" spans="1:33" ht="12.75">
      <c r="A27" s="38" t="s">
        <v>394</v>
      </c>
      <c r="B27" s="38" t="s">
        <v>442</v>
      </c>
      <c r="C27" s="127"/>
      <c r="D27" s="128"/>
      <c r="E27" s="128"/>
      <c r="F27" s="128"/>
      <c r="G27" s="127"/>
      <c r="H27" s="129">
        <f aca="true" t="shared" si="8" ref="H27:AB27">H21/H19</f>
        <v>0.02473880988154722</v>
      </c>
      <c r="I27" s="129">
        <f t="shared" si="8"/>
        <v>0.02073110131064041</v>
      </c>
      <c r="J27" s="130">
        <f t="shared" si="8"/>
        <v>0.021175471517210203</v>
      </c>
      <c r="K27" s="131">
        <f t="shared" si="8"/>
        <v>0.01890312150230071</v>
      </c>
      <c r="L27" s="129">
        <f t="shared" si="8"/>
        <v>0.019711104423713516</v>
      </c>
      <c r="M27" s="129">
        <f t="shared" si="8"/>
        <v>0.018715588344105676</v>
      </c>
      <c r="N27" s="130">
        <f t="shared" si="8"/>
        <v>0.019750327976385696</v>
      </c>
      <c r="O27" s="131">
        <f t="shared" si="8"/>
        <v>0.023334996624497343</v>
      </c>
      <c r="P27" s="129">
        <f t="shared" si="8"/>
        <v>0.023612899739735772</v>
      </c>
      <c r="Q27" s="129">
        <f t="shared" si="8"/>
        <v>0.025081149961685166</v>
      </c>
      <c r="R27" s="130">
        <f t="shared" si="8"/>
        <v>0.026201289421030904</v>
      </c>
      <c r="S27" s="131">
        <f t="shared" si="8"/>
        <v>0.026016732689925205</v>
      </c>
      <c r="T27" s="129">
        <f t="shared" si="8"/>
        <v>0.026940880740059257</v>
      </c>
      <c r="U27" s="129">
        <f t="shared" si="8"/>
        <v>0.027509181189221903</v>
      </c>
      <c r="V27" s="130">
        <f t="shared" si="8"/>
        <v>0.027970071091152585</v>
      </c>
      <c r="W27" s="131">
        <f t="shared" si="8"/>
        <v>0.028837909480642736</v>
      </c>
      <c r="X27" s="129">
        <f t="shared" si="8"/>
        <v>0.02936495907850864</v>
      </c>
      <c r="Y27" s="129">
        <f t="shared" si="8"/>
        <v>0.030491196117857732</v>
      </c>
      <c r="Z27" s="130">
        <f t="shared" si="8"/>
        <v>0.03112674362674363</v>
      </c>
      <c r="AA27" s="131">
        <f t="shared" si="8"/>
        <v>0.03173349056603774</v>
      </c>
      <c r="AB27" s="129">
        <f t="shared" si="8"/>
        <v>0.034906043906405275</v>
      </c>
      <c r="AC27" s="129">
        <f>AC21/AC19</f>
        <v>0.02645456287818635</v>
      </c>
      <c r="AD27" s="130">
        <f>AD21/AD19</f>
        <v>0.02707303234173624</v>
      </c>
      <c r="AE27" s="129">
        <f>AE21/AE19</f>
        <v>0.027120103314679296</v>
      </c>
      <c r="AF27" s="129">
        <f>AF21/AF19</f>
        <v>0.026647430516108603</v>
      </c>
      <c r="AG27" s="129">
        <f>AG21/AG19</f>
        <v>0.026187723880064507</v>
      </c>
    </row>
    <row r="28" spans="1:33" s="9" customFormat="1" ht="12.75">
      <c r="A28" s="38" t="s">
        <v>332</v>
      </c>
      <c r="B28" s="38" t="s">
        <v>441</v>
      </c>
      <c r="C28" s="127"/>
      <c r="D28" s="128"/>
      <c r="E28" s="128"/>
      <c r="F28" s="128"/>
      <c r="G28" s="127"/>
      <c r="H28" s="129">
        <f aca="true" t="shared" si="9" ref="H28:AB28">H24/H21</f>
        <v>0.7358757062146893</v>
      </c>
      <c r="I28" s="129">
        <f t="shared" si="9"/>
        <v>0.8119850187265918</v>
      </c>
      <c r="J28" s="130">
        <f t="shared" si="9"/>
        <v>0.7716688227684346</v>
      </c>
      <c r="K28" s="131">
        <f t="shared" si="9"/>
        <v>0.8486842105263158</v>
      </c>
      <c r="L28" s="129">
        <f t="shared" si="9"/>
        <v>0.8320610687022899</v>
      </c>
      <c r="M28" s="129">
        <f t="shared" si="9"/>
        <v>0.8063953488372092</v>
      </c>
      <c r="N28" s="130">
        <f t="shared" si="9"/>
        <v>0.7690710949662688</v>
      </c>
      <c r="O28" s="131">
        <f t="shared" si="9"/>
        <v>0.6725366876310273</v>
      </c>
      <c r="P28" s="129">
        <f t="shared" si="9"/>
        <v>0.6517925247902365</v>
      </c>
      <c r="Q28" s="129">
        <f t="shared" si="9"/>
        <v>0.6477857878475798</v>
      </c>
      <c r="R28" s="130">
        <f t="shared" si="9"/>
        <v>0.6527272727272727</v>
      </c>
      <c r="S28" s="131">
        <f t="shared" si="9"/>
        <v>0.6951793062904175</v>
      </c>
      <c r="T28" s="129">
        <f t="shared" si="9"/>
        <v>0.6746437214304921</v>
      </c>
      <c r="U28" s="129">
        <f t="shared" si="9"/>
        <v>0.6772499999999999</v>
      </c>
      <c r="V28" s="130">
        <f t="shared" si="9"/>
        <v>0.6810385898046688</v>
      </c>
      <c r="W28" s="131">
        <f t="shared" si="9"/>
        <v>0.6922378574670903</v>
      </c>
      <c r="X28" s="129">
        <f t="shared" si="9"/>
        <v>0.709247311827957</v>
      </c>
      <c r="Y28" s="129">
        <f t="shared" si="9"/>
        <v>0.7039486871116456</v>
      </c>
      <c r="Z28" s="130">
        <f t="shared" si="9"/>
        <v>0.7728414139463009</v>
      </c>
      <c r="AA28" s="131">
        <f t="shared" si="9"/>
        <v>0.780564845782237</v>
      </c>
      <c r="AB28" s="129">
        <f t="shared" si="9"/>
        <v>0.7733743125202199</v>
      </c>
      <c r="AC28" s="129">
        <f>AC24/AC21</f>
        <v>0.7563651417925895</v>
      </c>
      <c r="AD28" s="130">
        <f>AD24/AD21</f>
        <v>0.7652694610778442</v>
      </c>
      <c r="AE28" s="129">
        <f>AE24/AE21</f>
        <v>0.8066202090592334</v>
      </c>
      <c r="AF28" s="129">
        <f>AF24/AF21</f>
        <v>0.8115449915110357</v>
      </c>
      <c r="AG28" s="129">
        <f>AG24/AG21</f>
        <v>0.8108991825613079</v>
      </c>
    </row>
    <row r="29" spans="1:33" ht="12.75">
      <c r="A29" s="38"/>
      <c r="B29" s="38"/>
      <c r="C29" s="132"/>
      <c r="D29" s="133"/>
      <c r="E29" s="133"/>
      <c r="F29" s="133"/>
      <c r="G29" s="132"/>
      <c r="H29" s="27"/>
      <c r="I29" s="27"/>
      <c r="J29" s="28"/>
      <c r="K29" s="26"/>
      <c r="L29" s="27"/>
      <c r="M29" s="27"/>
      <c r="N29" s="28"/>
      <c r="O29" s="26"/>
      <c r="P29" s="27"/>
      <c r="Q29" s="27"/>
      <c r="R29" s="28"/>
      <c r="S29" s="26"/>
      <c r="T29" s="27"/>
      <c r="U29" s="27"/>
      <c r="V29" s="28"/>
      <c r="W29" s="26"/>
      <c r="X29" s="27"/>
      <c r="Y29" s="27"/>
      <c r="Z29" s="28"/>
      <c r="AA29" s="26"/>
      <c r="AB29" s="27"/>
      <c r="AC29" s="27"/>
      <c r="AD29" s="28"/>
      <c r="AE29" s="27"/>
      <c r="AF29" s="27"/>
      <c r="AG29" s="27"/>
    </row>
    <row r="30" spans="1:33" s="13" customFormat="1" ht="12.75">
      <c r="A30" s="99" t="s">
        <v>334</v>
      </c>
      <c r="B30" s="99" t="s">
        <v>131</v>
      </c>
      <c r="C30" s="134"/>
      <c r="D30" s="135"/>
      <c r="E30" s="135"/>
      <c r="F30" s="135"/>
      <c r="G30" s="134"/>
      <c r="H30" s="95">
        <f>H7+H19</f>
        <v>19814.3</v>
      </c>
      <c r="I30" s="95">
        <f aca="true" t="shared" si="10" ref="I30:AB30">I7+I19</f>
        <v>22105.7</v>
      </c>
      <c r="J30" s="96">
        <f t="shared" si="10"/>
        <v>24298.000000000004</v>
      </c>
      <c r="K30" s="94">
        <f t="shared" si="10"/>
        <v>25614.5</v>
      </c>
      <c r="L30" s="95">
        <f t="shared" si="10"/>
        <v>25776.6</v>
      </c>
      <c r="M30" s="95">
        <f t="shared" si="10"/>
        <v>26133.9</v>
      </c>
      <c r="N30" s="96">
        <f t="shared" si="10"/>
        <v>27361.4</v>
      </c>
      <c r="O30" s="94">
        <f t="shared" si="10"/>
        <v>27576.3</v>
      </c>
      <c r="P30" s="95">
        <f t="shared" si="10"/>
        <v>28994.4</v>
      </c>
      <c r="Q30" s="95">
        <f t="shared" si="10"/>
        <v>30667.6</v>
      </c>
      <c r="R30" s="96">
        <f t="shared" si="10"/>
        <v>32178.199999999997</v>
      </c>
      <c r="S30" s="94">
        <f t="shared" si="10"/>
        <v>32988.600000000006</v>
      </c>
      <c r="T30" s="95">
        <f t="shared" si="10"/>
        <v>34754.4</v>
      </c>
      <c r="U30" s="95">
        <f t="shared" si="10"/>
        <v>36919.1</v>
      </c>
      <c r="V30" s="96">
        <f t="shared" si="10"/>
        <v>39466</v>
      </c>
      <c r="W30" s="94">
        <f t="shared" si="10"/>
        <v>45105.899999999994</v>
      </c>
      <c r="X30" s="95">
        <f t="shared" si="10"/>
        <v>45907.50000000001</v>
      </c>
      <c r="Y30" s="95">
        <f t="shared" si="10"/>
        <v>46744.8</v>
      </c>
      <c r="Z30" s="96">
        <f t="shared" si="10"/>
        <v>46509.7</v>
      </c>
      <c r="AA30" s="94">
        <f t="shared" si="10"/>
        <v>46670.2</v>
      </c>
      <c r="AB30" s="95">
        <f t="shared" si="10"/>
        <v>48136.600000000006</v>
      </c>
      <c r="AC30" s="95">
        <f>AC7+AC19</f>
        <v>49764.4</v>
      </c>
      <c r="AD30" s="96">
        <f>AD7+AD19</f>
        <v>49982.2</v>
      </c>
      <c r="AE30" s="95">
        <f>AE7+AE19</f>
        <v>52346.1</v>
      </c>
      <c r="AF30" s="95">
        <f>AF7+AF19</f>
        <v>55098.99999999999</v>
      </c>
      <c r="AG30" s="95">
        <f>AG7+AG19</f>
        <v>57750.7</v>
      </c>
    </row>
    <row r="31" spans="1:33" ht="12.75">
      <c r="A31" s="25"/>
      <c r="B31" s="25"/>
      <c r="C31" s="125"/>
      <c r="D31" s="126"/>
      <c r="E31" s="126"/>
      <c r="F31" s="126"/>
      <c r="G31" s="125"/>
      <c r="H31" s="40"/>
      <c r="I31" s="40"/>
      <c r="J31" s="41"/>
      <c r="K31" s="39"/>
      <c r="L31" s="40"/>
      <c r="M31" s="40"/>
      <c r="N31" s="41"/>
      <c r="O31" s="39"/>
      <c r="P31" s="40"/>
      <c r="Q31" s="40"/>
      <c r="R31" s="41"/>
      <c r="S31" s="39"/>
      <c r="T31" s="40"/>
      <c r="U31" s="40"/>
      <c r="V31" s="41"/>
      <c r="W31" s="39"/>
      <c r="X31" s="40"/>
      <c r="Y31" s="40"/>
      <c r="Z31" s="41"/>
      <c r="AA31" s="39"/>
      <c r="AB31" s="40"/>
      <c r="AC31" s="40"/>
      <c r="AD31" s="41"/>
      <c r="AE31" s="40"/>
      <c r="AF31" s="40"/>
      <c r="AG31" s="40"/>
    </row>
    <row r="32" spans="1:33" s="13" customFormat="1" ht="21" customHeight="1">
      <c r="A32" s="99" t="s">
        <v>335</v>
      </c>
      <c r="B32" s="99" t="s">
        <v>132</v>
      </c>
      <c r="C32" s="134"/>
      <c r="D32" s="135"/>
      <c r="E32" s="135"/>
      <c r="F32" s="135"/>
      <c r="G32" s="134"/>
      <c r="H32" s="95">
        <f aca="true" t="shared" si="11" ref="H32:AB32">H33+H34</f>
        <v>401.1</v>
      </c>
      <c r="I32" s="95">
        <f t="shared" si="11"/>
        <v>412.7</v>
      </c>
      <c r="J32" s="96">
        <f t="shared" si="11"/>
        <v>502.9</v>
      </c>
      <c r="K32" s="94">
        <f t="shared" si="11"/>
        <v>681.3000000000001</v>
      </c>
      <c r="L32" s="95">
        <f t="shared" si="11"/>
        <v>770</v>
      </c>
      <c r="M32" s="95">
        <f t="shared" si="11"/>
        <v>816.2999999999998</v>
      </c>
      <c r="N32" s="96">
        <f t="shared" si="11"/>
        <v>892.8000000000001</v>
      </c>
      <c r="O32" s="94">
        <f t="shared" si="11"/>
        <v>943.6</v>
      </c>
      <c r="P32" s="95">
        <f t="shared" si="11"/>
        <v>985.6</v>
      </c>
      <c r="Q32" s="95">
        <f t="shared" si="11"/>
        <v>1046.3</v>
      </c>
      <c r="R32" s="96">
        <f t="shared" si="11"/>
        <v>1091.3</v>
      </c>
      <c r="S32" s="94">
        <f t="shared" si="11"/>
        <v>1130.3000000000002</v>
      </c>
      <c r="T32" s="95">
        <f t="shared" si="11"/>
        <v>1147.6</v>
      </c>
      <c r="U32" s="95">
        <f t="shared" si="11"/>
        <v>1188.3</v>
      </c>
      <c r="V32" s="96">
        <f t="shared" si="11"/>
        <v>1119.3999999999999</v>
      </c>
      <c r="W32" s="94">
        <f t="shared" si="11"/>
        <v>1206.5</v>
      </c>
      <c r="X32" s="95">
        <f t="shared" si="11"/>
        <v>1304.1999999999998</v>
      </c>
      <c r="Y32" s="95">
        <f t="shared" si="11"/>
        <v>1374.6000000000001</v>
      </c>
      <c r="Z32" s="96">
        <f t="shared" si="11"/>
        <v>1446.3</v>
      </c>
      <c r="AA32" s="94">
        <f t="shared" si="11"/>
        <v>1492.5</v>
      </c>
      <c r="AB32" s="95">
        <f t="shared" si="11"/>
        <v>1596.7</v>
      </c>
      <c r="AC32" s="95">
        <f>AC33+AC34</f>
        <v>1509.3000000000002</v>
      </c>
      <c r="AD32" s="96">
        <f>AD33+AD34</f>
        <v>1567.9</v>
      </c>
      <c r="AE32" s="95">
        <f>AE33+AE34</f>
        <v>1652.7</v>
      </c>
      <c r="AF32" s="95">
        <f>AF33+AF34</f>
        <v>1628.4</v>
      </c>
      <c r="AG32" s="95">
        <f>AG33+AG34</f>
        <v>1677.8</v>
      </c>
    </row>
    <row r="33" spans="1:33" ht="12.75">
      <c r="A33" s="38" t="s">
        <v>336</v>
      </c>
      <c r="B33" s="38" t="s">
        <v>133</v>
      </c>
      <c r="C33" s="125"/>
      <c r="D33" s="126"/>
      <c r="E33" s="126"/>
      <c r="F33" s="126"/>
      <c r="G33" s="125"/>
      <c r="H33" s="40">
        <f aca="true" t="shared" si="12" ref="H33:AB33">H11+H12+H23+H24</f>
        <v>394.8</v>
      </c>
      <c r="I33" s="40">
        <f t="shared" si="12"/>
        <v>405.4</v>
      </c>
      <c r="J33" s="41">
        <f t="shared" si="12"/>
        <v>493.59999999999997</v>
      </c>
      <c r="K33" s="39">
        <f t="shared" si="12"/>
        <v>664.8000000000001</v>
      </c>
      <c r="L33" s="40">
        <f t="shared" si="12"/>
        <v>756.5</v>
      </c>
      <c r="M33" s="40">
        <f t="shared" si="12"/>
        <v>801.3999999999999</v>
      </c>
      <c r="N33" s="41">
        <f t="shared" si="12"/>
        <v>872.7</v>
      </c>
      <c r="O33" s="39">
        <f t="shared" si="12"/>
        <v>926.2</v>
      </c>
      <c r="P33" s="40">
        <f t="shared" si="12"/>
        <v>968</v>
      </c>
      <c r="Q33" s="40">
        <f t="shared" si="12"/>
        <v>1037.1</v>
      </c>
      <c r="R33" s="41">
        <f t="shared" si="12"/>
        <v>1080.2</v>
      </c>
      <c r="S33" s="39">
        <f t="shared" si="12"/>
        <v>1120.4</v>
      </c>
      <c r="T33" s="40">
        <f t="shared" si="12"/>
        <v>1137</v>
      </c>
      <c r="U33" s="40">
        <f t="shared" si="12"/>
        <v>1179.3</v>
      </c>
      <c r="V33" s="41">
        <f t="shared" si="12"/>
        <v>1108.8</v>
      </c>
      <c r="W33" s="39">
        <f t="shared" si="12"/>
        <v>1191.6</v>
      </c>
      <c r="X33" s="40">
        <f t="shared" si="12"/>
        <v>1286.6</v>
      </c>
      <c r="Y33" s="40">
        <f t="shared" si="12"/>
        <v>1354.7</v>
      </c>
      <c r="Z33" s="41">
        <f t="shared" si="12"/>
        <v>1424</v>
      </c>
      <c r="AA33" s="39">
        <f t="shared" si="12"/>
        <v>1469</v>
      </c>
      <c r="AB33" s="40">
        <f t="shared" si="12"/>
        <v>1569.5</v>
      </c>
      <c r="AC33" s="40">
        <f>AC11+AC12+AC23+AC24</f>
        <v>1492.9</v>
      </c>
      <c r="AD33" s="41">
        <f>AD11+AD12+AD23+AD24</f>
        <v>1554.4</v>
      </c>
      <c r="AE33" s="40">
        <f>AE11+AE12+AE23+AE24</f>
        <v>1638.7</v>
      </c>
      <c r="AF33" s="40">
        <f>AF11+AF12+AF23+AF24</f>
        <v>1612.2</v>
      </c>
      <c r="AG33" s="40">
        <f>AG11+AG12+AG23+AG24</f>
        <v>1661.5</v>
      </c>
    </row>
    <row r="34" spans="1:33" ht="12.75">
      <c r="A34" s="38" t="s">
        <v>330</v>
      </c>
      <c r="B34" s="38" t="s">
        <v>134</v>
      </c>
      <c r="C34" s="125"/>
      <c r="D34" s="126"/>
      <c r="E34" s="126"/>
      <c r="F34" s="126"/>
      <c r="G34" s="125"/>
      <c r="H34" s="40">
        <f aca="true" t="shared" si="13" ref="H34:AB34">H13+H25</f>
        <v>6.3</v>
      </c>
      <c r="I34" s="40">
        <f t="shared" si="13"/>
        <v>7.3</v>
      </c>
      <c r="J34" s="41">
        <f t="shared" si="13"/>
        <v>9.3</v>
      </c>
      <c r="K34" s="39">
        <f t="shared" si="13"/>
        <v>16.5</v>
      </c>
      <c r="L34" s="40">
        <f t="shared" si="13"/>
        <v>13.5</v>
      </c>
      <c r="M34" s="40">
        <f t="shared" si="13"/>
        <v>14.9</v>
      </c>
      <c r="N34" s="41">
        <f t="shared" si="13"/>
        <v>20.1</v>
      </c>
      <c r="O34" s="39">
        <f t="shared" si="13"/>
        <v>17.4</v>
      </c>
      <c r="P34" s="40">
        <f t="shared" si="13"/>
        <v>17.6</v>
      </c>
      <c r="Q34" s="40">
        <f t="shared" si="13"/>
        <v>9.2</v>
      </c>
      <c r="R34" s="41">
        <f t="shared" si="13"/>
        <v>11.1</v>
      </c>
      <c r="S34" s="39">
        <f t="shared" si="13"/>
        <v>9.9</v>
      </c>
      <c r="T34" s="40">
        <f t="shared" si="13"/>
        <v>10.6</v>
      </c>
      <c r="U34" s="40">
        <f t="shared" si="13"/>
        <v>9</v>
      </c>
      <c r="V34" s="41">
        <f t="shared" si="13"/>
        <v>10.6</v>
      </c>
      <c r="W34" s="39">
        <f t="shared" si="13"/>
        <v>14.9</v>
      </c>
      <c r="X34" s="40">
        <f t="shared" si="13"/>
        <v>17.6</v>
      </c>
      <c r="Y34" s="40">
        <f t="shared" si="13"/>
        <v>19.9</v>
      </c>
      <c r="Z34" s="41">
        <f t="shared" si="13"/>
        <v>22.3</v>
      </c>
      <c r="AA34" s="39">
        <f t="shared" si="13"/>
        <v>23.5</v>
      </c>
      <c r="AB34" s="40">
        <f t="shared" si="13"/>
        <v>27.2</v>
      </c>
      <c r="AC34" s="40">
        <f>AC13+AC25</f>
        <v>16.4</v>
      </c>
      <c r="AD34" s="41">
        <f>AD13+AD25</f>
        <v>13.5</v>
      </c>
      <c r="AE34" s="40">
        <f>AE13+AE25</f>
        <v>14</v>
      </c>
      <c r="AF34" s="40">
        <f>AF13+AF25</f>
        <v>16.2</v>
      </c>
      <c r="AG34" s="40">
        <f>AG13+AG25</f>
        <v>16.3</v>
      </c>
    </row>
    <row r="35" spans="1:33" ht="12.75">
      <c r="A35" s="38"/>
      <c r="B35" s="38"/>
      <c r="C35" s="132"/>
      <c r="D35" s="133"/>
      <c r="E35" s="133"/>
      <c r="F35" s="133"/>
      <c r="G35" s="132"/>
      <c r="H35" s="27"/>
      <c r="I35" s="27"/>
      <c r="J35" s="28"/>
      <c r="K35" s="26"/>
      <c r="L35" s="27"/>
      <c r="M35" s="27"/>
      <c r="N35" s="28"/>
      <c r="O35" s="26"/>
      <c r="P35" s="27"/>
      <c r="Q35" s="27"/>
      <c r="R35" s="28"/>
      <c r="S35" s="26"/>
      <c r="T35" s="27"/>
      <c r="U35" s="27"/>
      <c r="V35" s="28"/>
      <c r="W35" s="26"/>
      <c r="X35" s="27"/>
      <c r="Y35" s="27"/>
      <c r="Z35" s="28"/>
      <c r="AA35" s="26"/>
      <c r="AB35" s="27"/>
      <c r="AC35" s="27"/>
      <c r="AD35" s="28"/>
      <c r="AE35" s="27"/>
      <c r="AF35" s="27"/>
      <c r="AG35" s="27"/>
    </row>
    <row r="36" spans="1:33" ht="12.75">
      <c r="A36" s="38" t="s">
        <v>337</v>
      </c>
      <c r="B36" s="38" t="s">
        <v>135</v>
      </c>
      <c r="C36" s="127"/>
      <c r="D36" s="128"/>
      <c r="E36" s="128"/>
      <c r="F36" s="128"/>
      <c r="G36" s="127"/>
      <c r="H36" s="129">
        <f aca="true" t="shared" si="14" ref="H36:AB36">H32/H30</f>
        <v>0.020242955845021022</v>
      </c>
      <c r="I36" s="129">
        <f t="shared" si="14"/>
        <v>0.018669392961996226</v>
      </c>
      <c r="J36" s="130">
        <f t="shared" si="14"/>
        <v>0.020697176722363975</v>
      </c>
      <c r="K36" s="131">
        <f t="shared" si="14"/>
        <v>0.026598215854301277</v>
      </c>
      <c r="L36" s="129">
        <f t="shared" si="14"/>
        <v>0.02987205449904177</v>
      </c>
      <c r="M36" s="129">
        <f t="shared" si="14"/>
        <v>0.031235292091880654</v>
      </c>
      <c r="N36" s="130">
        <f t="shared" si="14"/>
        <v>0.032629909288267415</v>
      </c>
      <c r="O36" s="131">
        <f t="shared" si="14"/>
        <v>0.03421778846328188</v>
      </c>
      <c r="P36" s="129">
        <f t="shared" si="14"/>
        <v>0.033992771017851725</v>
      </c>
      <c r="Q36" s="129">
        <f t="shared" si="14"/>
        <v>0.03411743990400292</v>
      </c>
      <c r="R36" s="130">
        <f t="shared" si="14"/>
        <v>0.03391426493713135</v>
      </c>
      <c r="S36" s="131">
        <f t="shared" si="14"/>
        <v>0.03426335158206168</v>
      </c>
      <c r="T36" s="129">
        <f t="shared" si="14"/>
        <v>0.03302027944663121</v>
      </c>
      <c r="U36" s="129">
        <f t="shared" si="14"/>
        <v>0.032186591764154594</v>
      </c>
      <c r="V36" s="130">
        <f t="shared" si="14"/>
        <v>0.02836365479146607</v>
      </c>
      <c r="W36" s="131">
        <f t="shared" si="14"/>
        <v>0.026748163765715798</v>
      </c>
      <c r="X36" s="129">
        <f t="shared" si="14"/>
        <v>0.028409301312421708</v>
      </c>
      <c r="Y36" s="129">
        <f t="shared" si="14"/>
        <v>0.029406479437285003</v>
      </c>
      <c r="Z36" s="130">
        <f t="shared" si="14"/>
        <v>0.031096738959829884</v>
      </c>
      <c r="AA36" s="131">
        <f t="shared" si="14"/>
        <v>0.03197972153536947</v>
      </c>
      <c r="AB36" s="129">
        <f t="shared" si="14"/>
        <v>0.03317018651088776</v>
      </c>
      <c r="AC36" s="129">
        <f>AC32/AC30</f>
        <v>0.030328909823086385</v>
      </c>
      <c r="AD36" s="130">
        <f>AD32/AD30</f>
        <v>0.03136916742360281</v>
      </c>
      <c r="AE36" s="129">
        <f>AE32/AE30</f>
        <v>0.031572552683007904</v>
      </c>
      <c r="AF36" s="129">
        <f>AF32/AF30</f>
        <v>0.02955407539156791</v>
      </c>
      <c r="AG36" s="129">
        <f>AG32/AG30</f>
        <v>0.029052461701762924</v>
      </c>
    </row>
    <row r="37" spans="1:33" ht="12.75">
      <c r="A37" s="38" t="s">
        <v>394</v>
      </c>
      <c r="B37" s="38" t="s">
        <v>443</v>
      </c>
      <c r="C37" s="127"/>
      <c r="D37" s="128"/>
      <c r="E37" s="128"/>
      <c r="F37" s="128"/>
      <c r="G37" s="127"/>
      <c r="H37" s="129">
        <f aca="true" t="shared" si="15" ref="H37:AB37">(H21+H9)/H30</f>
        <v>0.018410945630176184</v>
      </c>
      <c r="I37" s="129">
        <f t="shared" si="15"/>
        <v>0.017823457298343864</v>
      </c>
      <c r="J37" s="130">
        <f t="shared" si="15"/>
        <v>0.020672483331961474</v>
      </c>
      <c r="K37" s="131">
        <f t="shared" si="15"/>
        <v>0.035054363739288295</v>
      </c>
      <c r="L37" s="129">
        <f t="shared" si="15"/>
        <v>0.039826819673657504</v>
      </c>
      <c r="M37" s="129">
        <f t="shared" si="15"/>
        <v>0.03698644289600863</v>
      </c>
      <c r="N37" s="130">
        <f t="shared" si="15"/>
        <v>0.042567266294853336</v>
      </c>
      <c r="O37" s="131">
        <f t="shared" si="15"/>
        <v>0.04635139594506878</v>
      </c>
      <c r="P37" s="129">
        <f t="shared" si="15"/>
        <v>0.045139751124355046</v>
      </c>
      <c r="Q37" s="129">
        <f t="shared" si="15"/>
        <v>0.046645319490276387</v>
      </c>
      <c r="R37" s="130">
        <f t="shared" si="15"/>
        <v>0.04685159517934502</v>
      </c>
      <c r="S37" s="131">
        <f t="shared" si="15"/>
        <v>0.046225059566031894</v>
      </c>
      <c r="T37" s="129">
        <f t="shared" si="15"/>
        <v>0.043683677462422014</v>
      </c>
      <c r="U37" s="129">
        <f t="shared" si="15"/>
        <v>0.043048178314205925</v>
      </c>
      <c r="V37" s="130">
        <f t="shared" si="15"/>
        <v>0.03935032686362945</v>
      </c>
      <c r="W37" s="131">
        <f t="shared" si="15"/>
        <v>0.035962036008593115</v>
      </c>
      <c r="X37" s="129">
        <f t="shared" si="15"/>
        <v>0.04333714534662091</v>
      </c>
      <c r="Y37" s="129">
        <f t="shared" si="15"/>
        <v>0.04328181958207116</v>
      </c>
      <c r="Z37" s="130">
        <f t="shared" si="15"/>
        <v>0.04074418884662769</v>
      </c>
      <c r="AA37" s="131">
        <f t="shared" si="15"/>
        <v>0.043610269508165815</v>
      </c>
      <c r="AB37" s="129">
        <f t="shared" si="15"/>
        <v>0.047514780852823</v>
      </c>
      <c r="AC37" s="129">
        <f>(AC21+AC9)/AC30</f>
        <v>0.044093769843502585</v>
      </c>
      <c r="AD37" s="130">
        <f>(AD21+AD9)/AD30</f>
        <v>0.04630848582095227</v>
      </c>
      <c r="AE37" s="129">
        <f>(AE21+AE9)/AE30</f>
        <v>0.0464829280500362</v>
      </c>
      <c r="AF37" s="129">
        <f>(AF21+AF9)/AF30</f>
        <v>0.04352166101018168</v>
      </c>
      <c r="AG37" s="129">
        <f>(AG21+AG9)/AG30</f>
        <v>0.04167568531636846</v>
      </c>
    </row>
    <row r="38" spans="1:33" ht="12.75">
      <c r="A38" s="136" t="s">
        <v>332</v>
      </c>
      <c r="B38" s="136" t="s">
        <v>441</v>
      </c>
      <c r="C38" s="137"/>
      <c r="D38" s="138"/>
      <c r="E38" s="138"/>
      <c r="F38" s="138"/>
      <c r="G38" s="137"/>
      <c r="H38" s="139">
        <f aca="true" t="shared" si="16" ref="H38:AB38">(H24+H12)/(H21+H9)</f>
        <v>0.7922149122807018</v>
      </c>
      <c r="I38" s="139">
        <f t="shared" si="16"/>
        <v>0.7647208121827411</v>
      </c>
      <c r="J38" s="140">
        <f t="shared" si="16"/>
        <v>0.7515429026478201</v>
      </c>
      <c r="K38" s="141">
        <f t="shared" si="16"/>
        <v>0.5989531128187994</v>
      </c>
      <c r="L38" s="139">
        <f t="shared" si="16"/>
        <v>0.5993571011104617</v>
      </c>
      <c r="M38" s="139">
        <f t="shared" si="16"/>
        <v>0.6631491827022553</v>
      </c>
      <c r="N38" s="140">
        <f t="shared" si="16"/>
        <v>0.6178415042500214</v>
      </c>
      <c r="O38" s="141">
        <f t="shared" si="16"/>
        <v>0.5981849475825379</v>
      </c>
      <c r="P38" s="139">
        <f t="shared" si="16"/>
        <v>0.6167481662591687</v>
      </c>
      <c r="Q38" s="139">
        <f t="shared" si="16"/>
        <v>0.6113946172666899</v>
      </c>
      <c r="R38" s="140">
        <f t="shared" si="16"/>
        <v>0.615547890687185</v>
      </c>
      <c r="S38" s="141">
        <f t="shared" si="16"/>
        <v>0.6334841628959276</v>
      </c>
      <c r="T38" s="139">
        <f t="shared" si="16"/>
        <v>0.644776709260967</v>
      </c>
      <c r="U38" s="139">
        <f t="shared" si="16"/>
        <v>0.6384571824073492</v>
      </c>
      <c r="V38" s="140">
        <f t="shared" si="16"/>
        <v>0.6110109465550547</v>
      </c>
      <c r="W38" s="141">
        <f t="shared" si="16"/>
        <v>0.6265335059490784</v>
      </c>
      <c r="X38" s="139">
        <f t="shared" si="16"/>
        <v>0.5545614475998994</v>
      </c>
      <c r="Y38" s="139">
        <f t="shared" si="16"/>
        <v>0.5832839066824831</v>
      </c>
      <c r="Z38" s="140">
        <f t="shared" si="16"/>
        <v>0.6836939313984168</v>
      </c>
      <c r="AA38" s="141">
        <f t="shared" si="16"/>
        <v>0.6513536088045988</v>
      </c>
      <c r="AB38" s="139">
        <f t="shared" si="16"/>
        <v>0.622507869884575</v>
      </c>
      <c r="AC38" s="139">
        <f>(AC24+AC12)/(AC21+AC9)</f>
        <v>0.612222576675933</v>
      </c>
      <c r="AD38" s="140">
        <f>(AD24+AD12)/(AD21+AD9)</f>
        <v>0.6061522509288861</v>
      </c>
      <c r="AE38" s="139">
        <f>(AE24+AE12)/(AE21+AE9)</f>
        <v>0.6076360348512247</v>
      </c>
      <c r="AF38" s="139">
        <f>(AF24+AF12)/(AF21+AF9)</f>
        <v>0.6055879899916597</v>
      </c>
      <c r="AG38" s="139">
        <f>(AG24+AG12)/(AG21+AG9)</f>
        <v>0.6189130796077779</v>
      </c>
    </row>
    <row r="40" spans="8:33" ht="12.7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row>
  </sheetData>
  <sheetProtection/>
  <mergeCells count="10">
    <mergeCell ref="AE3:AG3"/>
    <mergeCell ref="AA3:AD3"/>
    <mergeCell ref="S3:V3"/>
    <mergeCell ref="W3:Z3"/>
    <mergeCell ref="A3:A4"/>
    <mergeCell ref="B3:B4"/>
    <mergeCell ref="C3:F3"/>
    <mergeCell ref="G3:J3"/>
    <mergeCell ref="K3:N3"/>
    <mergeCell ref="O3:R3"/>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1"/>
  <headerFooter alignWithMargins="0">
    <oddHeader>&amp;C&amp;"Times New Roman,Kursywa"&amp;12
</oddHeader>
  </headerFooter>
</worksheet>
</file>

<file path=xl/worksheets/sheet11.xml><?xml version="1.0" encoding="utf-8"?>
<worksheet xmlns="http://schemas.openxmlformats.org/spreadsheetml/2006/main" xmlns:r="http://schemas.openxmlformats.org/officeDocument/2006/relationships">
  <dimension ref="A1:AG42"/>
  <sheetViews>
    <sheetView showGridLines="0" view="pageBreakPreview" zoomScaleSheetLayoutView="100" zoomScalePageLayoutView="0" workbookViewId="0" topLeftCell="A1">
      <pane xSplit="2" ySplit="3" topLeftCell="C4" activePane="bottomRight" state="frozen"/>
      <selection pane="topLeft" activeCell="B2" sqref="B2:B3"/>
      <selection pane="topRight" activeCell="B2" sqref="B2:B3"/>
      <selection pane="bottomLeft" activeCell="B2" sqref="B2:B3"/>
      <selection pane="bottomRight" activeCell="H25" sqref="H25"/>
    </sheetView>
  </sheetViews>
  <sheetFormatPr defaultColWidth="9.00390625" defaultRowHeight="12.75" outlineLevelCol="1"/>
  <cols>
    <col min="1" max="1" width="36.625" style="2" customWidth="1"/>
    <col min="2" max="2" width="44.625" style="2" hidden="1" customWidth="1" outlineLevel="1"/>
    <col min="3" max="3" width="7.00390625" style="3" bestFit="1" customWidth="1" collapsed="1"/>
    <col min="4" max="6" width="6.125" style="3" bestFit="1" customWidth="1"/>
    <col min="7" max="33" width="7.00390625" style="3" bestFit="1" customWidth="1"/>
    <col min="34" max="16384" width="8.875" style="3" customWidth="1"/>
  </cols>
  <sheetData>
    <row r="1" spans="1:2" ht="12.75">
      <c r="A1" s="259" t="s">
        <v>585</v>
      </c>
      <c r="B1" s="259" t="s">
        <v>586</v>
      </c>
    </row>
    <row r="2" spans="1:33" ht="12.75">
      <c r="A2" s="343" t="s">
        <v>292</v>
      </c>
      <c r="B2" s="343" t="s">
        <v>88</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2"/>
      <c r="AA2" s="340">
        <v>2013</v>
      </c>
      <c r="AB2" s="341"/>
      <c r="AC2" s="341"/>
      <c r="AD2" s="342"/>
      <c r="AE2" s="350">
        <v>2014</v>
      </c>
      <c r="AF2" s="351"/>
      <c r="AG2" s="351"/>
    </row>
    <row r="3" spans="1:33" s="4" customFormat="1" ht="12.75">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6" t="s">
        <v>183</v>
      </c>
      <c r="AA3" s="197" t="s">
        <v>180</v>
      </c>
      <c r="AB3" s="198" t="s">
        <v>181</v>
      </c>
      <c r="AC3" s="198" t="s">
        <v>182</v>
      </c>
      <c r="AD3" s="199" t="s">
        <v>183</v>
      </c>
      <c r="AE3" s="198" t="s">
        <v>180</v>
      </c>
      <c r="AF3" s="198" t="s">
        <v>181</v>
      </c>
      <c r="AG3" s="198" t="s">
        <v>182</v>
      </c>
    </row>
    <row r="4" spans="1:33" s="4" customFormat="1" ht="12.75" customHeight="1">
      <c r="A4" s="20" t="s">
        <v>185</v>
      </c>
      <c r="B4" s="20" t="s">
        <v>12</v>
      </c>
      <c r="C4" s="16"/>
      <c r="D4" s="6"/>
      <c r="E4" s="5"/>
      <c r="F4" s="6"/>
      <c r="G4" s="16"/>
      <c r="H4" s="6"/>
      <c r="I4" s="5"/>
      <c r="J4" s="17"/>
      <c r="K4" s="16"/>
      <c r="L4" s="6"/>
      <c r="M4" s="5"/>
      <c r="N4" s="17"/>
      <c r="O4" s="16"/>
      <c r="P4" s="6"/>
      <c r="Q4" s="5"/>
      <c r="R4" s="17"/>
      <c r="S4" s="16"/>
      <c r="T4" s="6"/>
      <c r="U4" s="5"/>
      <c r="V4" s="17"/>
      <c r="W4" s="16"/>
      <c r="X4" s="5"/>
      <c r="Y4" s="5"/>
      <c r="Z4" s="18"/>
      <c r="AA4" s="16"/>
      <c r="AB4" s="5"/>
      <c r="AC4" s="5"/>
      <c r="AD4" s="18"/>
      <c r="AE4" s="5"/>
      <c r="AF4" s="5"/>
      <c r="AG4" s="5"/>
    </row>
    <row r="5" spans="1:33" s="7" customFormat="1" ht="12.75">
      <c r="A5" s="89" t="s">
        <v>293</v>
      </c>
      <c r="B5" s="89" t="s">
        <v>89</v>
      </c>
      <c r="C5" s="46">
        <f aca="true" t="shared" si="0" ref="C5:AA5">SUM(C6:C8)</f>
        <v>9044.1</v>
      </c>
      <c r="D5" s="47">
        <f t="shared" si="0"/>
        <v>4325.6</v>
      </c>
      <c r="E5" s="47">
        <f t="shared" si="0"/>
        <v>5319.099999999999</v>
      </c>
      <c r="F5" s="47">
        <f t="shared" si="0"/>
        <v>4411.7</v>
      </c>
      <c r="G5" s="46">
        <f t="shared" si="0"/>
        <v>4997</v>
      </c>
      <c r="H5" s="47">
        <f t="shared" si="0"/>
        <v>4816.1</v>
      </c>
      <c r="I5" s="47">
        <f t="shared" si="0"/>
        <v>7105</v>
      </c>
      <c r="J5" s="48">
        <f t="shared" si="0"/>
        <v>6116.9</v>
      </c>
      <c r="K5" s="46">
        <f t="shared" si="0"/>
        <v>10774.6</v>
      </c>
      <c r="L5" s="47">
        <f t="shared" si="0"/>
        <v>9938.7</v>
      </c>
      <c r="M5" s="47">
        <f t="shared" si="0"/>
        <v>11560.8</v>
      </c>
      <c r="N5" s="48">
        <f t="shared" si="0"/>
        <v>7533.6</v>
      </c>
      <c r="O5" s="46">
        <f t="shared" si="0"/>
        <v>3445.6</v>
      </c>
      <c r="P5" s="47">
        <f t="shared" si="0"/>
        <v>912</v>
      </c>
      <c r="Q5" s="47">
        <f t="shared" si="0"/>
        <v>2667.5</v>
      </c>
      <c r="R5" s="48">
        <f t="shared" si="0"/>
        <v>512.8</v>
      </c>
      <c r="S5" s="46">
        <f t="shared" si="0"/>
        <v>387.7</v>
      </c>
      <c r="T5" s="47">
        <f t="shared" si="0"/>
        <v>436.1</v>
      </c>
      <c r="U5" s="47">
        <f t="shared" si="0"/>
        <v>327.3</v>
      </c>
      <c r="V5" s="48">
        <f t="shared" si="0"/>
        <v>444.7</v>
      </c>
      <c r="W5" s="46">
        <f t="shared" si="0"/>
        <v>853.7</v>
      </c>
      <c r="X5" s="47">
        <f t="shared" si="0"/>
        <v>412.40000000000003</v>
      </c>
      <c r="Y5" s="47">
        <f t="shared" si="0"/>
        <v>994</v>
      </c>
      <c r="Z5" s="48">
        <f t="shared" si="0"/>
        <v>507.6</v>
      </c>
      <c r="AA5" s="46">
        <f t="shared" si="0"/>
        <v>1034.7</v>
      </c>
      <c r="AB5" s="47">
        <f aca="true" t="shared" si="1" ref="AB5:AG5">SUM(AB6:AB8)</f>
        <v>2057.4</v>
      </c>
      <c r="AC5" s="47">
        <f t="shared" si="1"/>
        <v>1603.7</v>
      </c>
      <c r="AD5" s="48">
        <f t="shared" si="1"/>
        <v>1951.4</v>
      </c>
      <c r="AE5" s="47">
        <f t="shared" si="1"/>
        <v>2700.3</v>
      </c>
      <c r="AF5" s="47">
        <f t="shared" si="1"/>
        <v>2903.7</v>
      </c>
      <c r="AG5" s="47">
        <f t="shared" si="1"/>
        <v>1455.3999999999999</v>
      </c>
    </row>
    <row r="6" spans="1:33" s="7" customFormat="1" ht="12.75">
      <c r="A6" s="38" t="s">
        <v>294</v>
      </c>
      <c r="B6" s="38" t="s">
        <v>90</v>
      </c>
      <c r="C6" s="39">
        <v>9032.9</v>
      </c>
      <c r="D6" s="40">
        <v>4323.5</v>
      </c>
      <c r="E6" s="40">
        <v>5318.4</v>
      </c>
      <c r="F6" s="40">
        <v>4373.2</v>
      </c>
      <c r="G6" s="39">
        <v>4973.9</v>
      </c>
      <c r="H6" s="40">
        <v>4814</v>
      </c>
      <c r="I6" s="40">
        <v>7100.1</v>
      </c>
      <c r="J6" s="41">
        <v>6115.9</v>
      </c>
      <c r="K6" s="39">
        <v>10762.5</v>
      </c>
      <c r="L6" s="40">
        <v>9937.6</v>
      </c>
      <c r="M6" s="40">
        <v>11558.9</v>
      </c>
      <c r="N6" s="41">
        <v>7531.5</v>
      </c>
      <c r="O6" s="39">
        <v>3424.4</v>
      </c>
      <c r="P6" s="40">
        <v>904.7</v>
      </c>
      <c r="Q6" s="40">
        <v>2652.4</v>
      </c>
      <c r="R6" s="41">
        <v>489.9</v>
      </c>
      <c r="S6" s="39">
        <v>362.5</v>
      </c>
      <c r="T6" s="40">
        <v>431.1</v>
      </c>
      <c r="U6" s="40">
        <v>319.5</v>
      </c>
      <c r="V6" s="41">
        <v>444.7</v>
      </c>
      <c r="W6" s="39">
        <v>853.7</v>
      </c>
      <c r="X6" s="40">
        <v>412.40000000000003</v>
      </c>
      <c r="Y6" s="40">
        <v>994</v>
      </c>
      <c r="Z6" s="41">
        <v>507.6</v>
      </c>
      <c r="AA6" s="39">
        <v>1034.7</v>
      </c>
      <c r="AB6" s="40">
        <v>1405.7</v>
      </c>
      <c r="AC6" s="40">
        <v>1056.7</v>
      </c>
      <c r="AD6" s="41">
        <v>1276.3</v>
      </c>
      <c r="AE6" s="40">
        <v>1768.5</v>
      </c>
      <c r="AF6" s="40">
        <v>2565.5</v>
      </c>
      <c r="AG6" s="40">
        <v>1073.6</v>
      </c>
    </row>
    <row r="7" spans="1:33" s="7" customFormat="1" ht="12.75">
      <c r="A7" s="38" t="s">
        <v>583</v>
      </c>
      <c r="B7" s="38" t="s">
        <v>567</v>
      </c>
      <c r="C7" s="39">
        <v>0</v>
      </c>
      <c r="D7" s="40">
        <v>0</v>
      </c>
      <c r="E7" s="40">
        <v>0</v>
      </c>
      <c r="F7" s="40">
        <v>0</v>
      </c>
      <c r="G7" s="39">
        <v>0</v>
      </c>
      <c r="H7" s="40">
        <v>0</v>
      </c>
      <c r="I7" s="40">
        <v>0</v>
      </c>
      <c r="J7" s="41">
        <v>0</v>
      </c>
      <c r="K7" s="39">
        <v>0</v>
      </c>
      <c r="L7" s="40">
        <v>0</v>
      </c>
      <c r="M7" s="40">
        <v>0</v>
      </c>
      <c r="N7" s="41">
        <v>0</v>
      </c>
      <c r="O7" s="39">
        <v>0</v>
      </c>
      <c r="P7" s="40">
        <v>0</v>
      </c>
      <c r="Q7" s="40">
        <v>0</v>
      </c>
      <c r="R7" s="41">
        <v>0</v>
      </c>
      <c r="S7" s="39">
        <v>0</v>
      </c>
      <c r="T7" s="40">
        <v>0</v>
      </c>
      <c r="U7" s="40">
        <v>0</v>
      </c>
      <c r="V7" s="41">
        <v>0</v>
      </c>
      <c r="W7" s="39">
        <v>0</v>
      </c>
      <c r="X7" s="40">
        <v>0</v>
      </c>
      <c r="Y7" s="40">
        <v>0</v>
      </c>
      <c r="Z7" s="41">
        <v>0</v>
      </c>
      <c r="AA7" s="39">
        <v>0</v>
      </c>
      <c r="AB7" s="40">
        <v>651.7</v>
      </c>
      <c r="AC7" s="40">
        <v>547</v>
      </c>
      <c r="AD7" s="41">
        <v>675.1</v>
      </c>
      <c r="AE7" s="40">
        <v>931.8</v>
      </c>
      <c r="AF7" s="40">
        <v>338.2</v>
      </c>
      <c r="AG7" s="40">
        <v>381.8</v>
      </c>
    </row>
    <row r="8" spans="1:33" s="7" customFormat="1" ht="12.75">
      <c r="A8" s="38" t="s">
        <v>295</v>
      </c>
      <c r="B8" s="38" t="s">
        <v>91</v>
      </c>
      <c r="C8" s="39">
        <v>11.2</v>
      </c>
      <c r="D8" s="40">
        <v>2.1</v>
      </c>
      <c r="E8" s="40">
        <v>0.7</v>
      </c>
      <c r="F8" s="40">
        <v>38.5</v>
      </c>
      <c r="G8" s="39">
        <v>23.1</v>
      </c>
      <c r="H8" s="40">
        <v>2.1</v>
      </c>
      <c r="I8" s="40">
        <v>4.9</v>
      </c>
      <c r="J8" s="41">
        <v>1</v>
      </c>
      <c r="K8" s="39">
        <v>12.1</v>
      </c>
      <c r="L8" s="40">
        <v>1.1</v>
      </c>
      <c r="M8" s="40">
        <v>1.9</v>
      </c>
      <c r="N8" s="41">
        <v>2.1</v>
      </c>
      <c r="O8" s="39">
        <v>21.2</v>
      </c>
      <c r="P8" s="40">
        <v>7.3</v>
      </c>
      <c r="Q8" s="40">
        <v>15.1</v>
      </c>
      <c r="R8" s="41">
        <v>22.9</v>
      </c>
      <c r="S8" s="39">
        <v>25.2</v>
      </c>
      <c r="T8" s="40">
        <v>5</v>
      </c>
      <c r="U8" s="40">
        <v>7.8</v>
      </c>
      <c r="V8" s="41">
        <v>0</v>
      </c>
      <c r="W8" s="39">
        <v>0</v>
      </c>
      <c r="X8" s="40">
        <v>0</v>
      </c>
      <c r="Y8" s="40">
        <v>0</v>
      </c>
      <c r="Z8" s="41">
        <v>0</v>
      </c>
      <c r="AA8" s="39">
        <v>0</v>
      </c>
      <c r="AB8" s="40">
        <v>0</v>
      </c>
      <c r="AC8" s="40">
        <v>0</v>
      </c>
      <c r="AD8" s="41">
        <v>0</v>
      </c>
      <c r="AE8" s="40">
        <v>0</v>
      </c>
      <c r="AF8" s="40">
        <v>0</v>
      </c>
      <c r="AG8" s="40">
        <v>0</v>
      </c>
    </row>
    <row r="9" spans="1:33" s="4" customFormat="1" ht="20.25">
      <c r="A9" s="89" t="s">
        <v>539</v>
      </c>
      <c r="B9" s="89" t="s">
        <v>538</v>
      </c>
      <c r="C9" s="46">
        <f>C10+C11+C12</f>
        <v>1177</v>
      </c>
      <c r="D9" s="47">
        <f aca="true" t="shared" si="2" ref="D9:X9">D10+D11+D12</f>
        <v>1822.6999999999998</v>
      </c>
      <c r="E9" s="47">
        <f t="shared" si="2"/>
        <v>1780.6</v>
      </c>
      <c r="F9" s="47">
        <f t="shared" si="2"/>
        <v>1844.8000000000002</v>
      </c>
      <c r="G9" s="46">
        <f t="shared" si="2"/>
        <v>4180.2</v>
      </c>
      <c r="H9" s="47">
        <f t="shared" si="2"/>
        <v>4158.1</v>
      </c>
      <c r="I9" s="47">
        <f t="shared" si="2"/>
        <v>4091.3</v>
      </c>
      <c r="J9" s="48">
        <f t="shared" si="2"/>
        <v>4431.9</v>
      </c>
      <c r="K9" s="46">
        <f t="shared" si="2"/>
        <v>1202.8</v>
      </c>
      <c r="L9" s="47">
        <f t="shared" si="2"/>
        <v>883.4</v>
      </c>
      <c r="M9" s="47">
        <f t="shared" si="2"/>
        <v>616.9000000000001</v>
      </c>
      <c r="N9" s="48">
        <f t="shared" si="2"/>
        <v>734.1</v>
      </c>
      <c r="O9" s="46">
        <f t="shared" si="2"/>
        <v>312.8</v>
      </c>
      <c r="P9" s="47">
        <f t="shared" si="2"/>
        <v>539.5</v>
      </c>
      <c r="Q9" s="47">
        <f t="shared" si="2"/>
        <v>1278.2</v>
      </c>
      <c r="R9" s="48">
        <f t="shared" si="2"/>
        <v>146.8</v>
      </c>
      <c r="S9" s="46">
        <f t="shared" si="2"/>
        <v>189.2</v>
      </c>
      <c r="T9" s="47">
        <f t="shared" si="2"/>
        <v>136.4</v>
      </c>
      <c r="U9" s="47">
        <f t="shared" si="2"/>
        <v>793.2</v>
      </c>
      <c r="V9" s="48">
        <f t="shared" si="2"/>
        <v>194.9</v>
      </c>
      <c r="W9" s="46">
        <f t="shared" si="2"/>
        <v>572</v>
      </c>
      <c r="X9" s="47">
        <f t="shared" si="2"/>
        <v>379.1</v>
      </c>
      <c r="Y9" s="47">
        <f aca="true" t="shared" si="3" ref="Y9:AD9">Y10+Y11+Y12</f>
        <v>528.6</v>
      </c>
      <c r="Z9" s="48">
        <f t="shared" si="3"/>
        <v>1047</v>
      </c>
      <c r="AA9" s="46">
        <f t="shared" si="3"/>
        <v>377.4</v>
      </c>
      <c r="AB9" s="47">
        <f t="shared" si="3"/>
        <v>0</v>
      </c>
      <c r="AC9" s="47">
        <f t="shared" si="3"/>
        <v>0</v>
      </c>
      <c r="AD9" s="48">
        <f t="shared" si="3"/>
        <v>0</v>
      </c>
      <c r="AE9" s="47">
        <f>AE10+AE11+AE12</f>
        <v>0</v>
      </c>
      <c r="AF9" s="47">
        <f>AF10+AF11+AF12</f>
        <v>0</v>
      </c>
      <c r="AG9" s="47">
        <f>AG10+AG11+AG12</f>
        <v>0</v>
      </c>
    </row>
    <row r="10" spans="1:33" s="9" customFormat="1" ht="12.75">
      <c r="A10" s="88" t="s">
        <v>294</v>
      </c>
      <c r="B10" s="88" t="s">
        <v>90</v>
      </c>
      <c r="C10" s="39">
        <v>690.3</v>
      </c>
      <c r="D10" s="40">
        <v>1035.8</v>
      </c>
      <c r="E10" s="40">
        <v>1514.7</v>
      </c>
      <c r="F10" s="40">
        <v>1513.2</v>
      </c>
      <c r="G10" s="39">
        <v>1587.6</v>
      </c>
      <c r="H10" s="40">
        <v>1432.4</v>
      </c>
      <c r="I10" s="40">
        <v>1576.6</v>
      </c>
      <c r="J10" s="41">
        <v>1822.7</v>
      </c>
      <c r="K10" s="39">
        <v>205.2</v>
      </c>
      <c r="L10" s="40">
        <v>203.6</v>
      </c>
      <c r="M10" s="40">
        <v>199.8</v>
      </c>
      <c r="N10" s="41">
        <v>186.5</v>
      </c>
      <c r="O10" s="39">
        <v>185.5</v>
      </c>
      <c r="P10" s="40">
        <v>191.8</v>
      </c>
      <c r="Q10" s="40">
        <v>188.3</v>
      </c>
      <c r="R10" s="41">
        <v>61.2</v>
      </c>
      <c r="S10" s="39">
        <v>62.6</v>
      </c>
      <c r="T10" s="40">
        <v>62.5</v>
      </c>
      <c r="U10" s="40">
        <v>0</v>
      </c>
      <c r="V10" s="41">
        <v>0</v>
      </c>
      <c r="W10" s="39">
        <v>414.5</v>
      </c>
      <c r="X10" s="40">
        <v>0</v>
      </c>
      <c r="Y10" s="40">
        <v>0</v>
      </c>
      <c r="Z10" s="41">
        <v>0</v>
      </c>
      <c r="AA10" s="39">
        <v>0</v>
      </c>
      <c r="AB10" s="40">
        <v>0</v>
      </c>
      <c r="AC10" s="40">
        <v>0</v>
      </c>
      <c r="AD10" s="41">
        <v>0</v>
      </c>
      <c r="AE10" s="40">
        <v>0</v>
      </c>
      <c r="AF10" s="40">
        <v>0</v>
      </c>
      <c r="AG10" s="40">
        <v>0</v>
      </c>
    </row>
    <row r="11" spans="1:33" s="9" customFormat="1" ht="12.75">
      <c r="A11" s="90" t="s">
        <v>296</v>
      </c>
      <c r="B11" s="90" t="s">
        <v>92</v>
      </c>
      <c r="C11" s="39">
        <v>486.7</v>
      </c>
      <c r="D11" s="40">
        <v>786.9</v>
      </c>
      <c r="E11" s="40">
        <v>265.9</v>
      </c>
      <c r="F11" s="40">
        <v>331.6</v>
      </c>
      <c r="G11" s="39">
        <v>358.3</v>
      </c>
      <c r="H11" s="40">
        <v>255</v>
      </c>
      <c r="I11" s="40">
        <v>369.7</v>
      </c>
      <c r="J11" s="41">
        <v>362.5</v>
      </c>
      <c r="K11" s="39">
        <v>997.6</v>
      </c>
      <c r="L11" s="40">
        <v>679.8</v>
      </c>
      <c r="M11" s="40">
        <v>417.1</v>
      </c>
      <c r="N11" s="41">
        <v>547.6</v>
      </c>
      <c r="O11" s="39">
        <v>127.3</v>
      </c>
      <c r="P11" s="40">
        <v>347.7</v>
      </c>
      <c r="Q11" s="40">
        <v>1089.9</v>
      </c>
      <c r="R11" s="41">
        <v>85.6</v>
      </c>
      <c r="S11" s="39">
        <v>126.6</v>
      </c>
      <c r="T11" s="40">
        <v>73.9</v>
      </c>
      <c r="U11" s="40">
        <v>793.2</v>
      </c>
      <c r="V11" s="41">
        <v>194.9</v>
      </c>
      <c r="W11" s="39">
        <v>157.5</v>
      </c>
      <c r="X11" s="40">
        <v>379.1</v>
      </c>
      <c r="Y11" s="40">
        <v>528.6</v>
      </c>
      <c r="Z11" s="41">
        <v>1047</v>
      </c>
      <c r="AA11" s="39">
        <v>377.4</v>
      </c>
      <c r="AB11" s="40">
        <v>0</v>
      </c>
      <c r="AC11" s="40">
        <v>0</v>
      </c>
      <c r="AD11" s="41">
        <v>0</v>
      </c>
      <c r="AE11" s="40">
        <v>0</v>
      </c>
      <c r="AF11" s="40">
        <v>0</v>
      </c>
      <c r="AG11" s="40">
        <v>0</v>
      </c>
    </row>
    <row r="12" spans="1:33" s="9" customFormat="1" ht="12.75">
      <c r="A12" s="90" t="s">
        <v>513</v>
      </c>
      <c r="B12" s="90" t="s">
        <v>444</v>
      </c>
      <c r="C12" s="39">
        <v>0</v>
      </c>
      <c r="D12" s="40">
        <v>0</v>
      </c>
      <c r="E12" s="40">
        <v>0</v>
      </c>
      <c r="F12" s="40">
        <v>0</v>
      </c>
      <c r="G12" s="39">
        <v>2234.3</v>
      </c>
      <c r="H12" s="40">
        <v>2470.7</v>
      </c>
      <c r="I12" s="40">
        <v>2145</v>
      </c>
      <c r="J12" s="41">
        <v>2246.7</v>
      </c>
      <c r="K12" s="39">
        <v>0</v>
      </c>
      <c r="L12" s="40">
        <v>0</v>
      </c>
      <c r="M12" s="40">
        <v>0</v>
      </c>
      <c r="N12" s="41">
        <v>0</v>
      </c>
      <c r="O12" s="39">
        <v>0</v>
      </c>
      <c r="P12" s="40">
        <v>0</v>
      </c>
      <c r="Q12" s="40">
        <v>0</v>
      </c>
      <c r="R12" s="41">
        <v>0</v>
      </c>
      <c r="S12" s="39">
        <v>0</v>
      </c>
      <c r="T12" s="40">
        <v>0</v>
      </c>
      <c r="U12" s="40">
        <v>0</v>
      </c>
      <c r="V12" s="41">
        <v>0</v>
      </c>
      <c r="W12" s="39">
        <v>0</v>
      </c>
      <c r="X12" s="40">
        <v>0</v>
      </c>
      <c r="Y12" s="40">
        <v>0</v>
      </c>
      <c r="Z12" s="41">
        <v>0</v>
      </c>
      <c r="AA12" s="39">
        <v>0</v>
      </c>
      <c r="AB12" s="40">
        <v>0</v>
      </c>
      <c r="AC12" s="40">
        <v>0</v>
      </c>
      <c r="AD12" s="41">
        <v>0</v>
      </c>
      <c r="AE12" s="40">
        <v>0</v>
      </c>
      <c r="AF12" s="40">
        <v>0</v>
      </c>
      <c r="AG12" s="40">
        <v>0</v>
      </c>
    </row>
    <row r="13" spans="1:33" s="109" customFormat="1" ht="20.25">
      <c r="A13" s="99" t="s">
        <v>297</v>
      </c>
      <c r="B13" s="99" t="s">
        <v>445</v>
      </c>
      <c r="C13" s="94">
        <f>C5+C9</f>
        <v>10221.1</v>
      </c>
      <c r="D13" s="95">
        <f aca="true" t="shared" si="4" ref="D13:X13">D5+D9</f>
        <v>6148.3</v>
      </c>
      <c r="E13" s="95">
        <f t="shared" si="4"/>
        <v>7099.699999999999</v>
      </c>
      <c r="F13" s="95">
        <f t="shared" si="4"/>
        <v>6256.5</v>
      </c>
      <c r="G13" s="94">
        <f t="shared" si="4"/>
        <v>9177.2</v>
      </c>
      <c r="H13" s="95">
        <f t="shared" si="4"/>
        <v>8974.2</v>
      </c>
      <c r="I13" s="95">
        <f t="shared" si="4"/>
        <v>11196.3</v>
      </c>
      <c r="J13" s="96">
        <f t="shared" si="4"/>
        <v>10548.8</v>
      </c>
      <c r="K13" s="94">
        <f t="shared" si="4"/>
        <v>11977.4</v>
      </c>
      <c r="L13" s="95">
        <f t="shared" si="4"/>
        <v>10822.1</v>
      </c>
      <c r="M13" s="95">
        <f t="shared" si="4"/>
        <v>12177.699999999999</v>
      </c>
      <c r="N13" s="96">
        <f t="shared" si="4"/>
        <v>8267.7</v>
      </c>
      <c r="O13" s="94">
        <f t="shared" si="4"/>
        <v>3758.4</v>
      </c>
      <c r="P13" s="95">
        <f t="shared" si="4"/>
        <v>1451.5</v>
      </c>
      <c r="Q13" s="95">
        <f t="shared" si="4"/>
        <v>3945.7</v>
      </c>
      <c r="R13" s="96">
        <f t="shared" si="4"/>
        <v>659.5999999999999</v>
      </c>
      <c r="S13" s="94">
        <f t="shared" si="4"/>
        <v>576.9</v>
      </c>
      <c r="T13" s="95">
        <f t="shared" si="4"/>
        <v>572.5</v>
      </c>
      <c r="U13" s="95">
        <f t="shared" si="4"/>
        <v>1120.5</v>
      </c>
      <c r="V13" s="96">
        <f t="shared" si="4"/>
        <v>639.6</v>
      </c>
      <c r="W13" s="94">
        <f t="shared" si="4"/>
        <v>1425.7</v>
      </c>
      <c r="X13" s="95">
        <f t="shared" si="4"/>
        <v>791.5</v>
      </c>
      <c r="Y13" s="95">
        <f aca="true" t="shared" si="5" ref="Y13:AD13">Y5+Y9</f>
        <v>1522.6</v>
      </c>
      <c r="Z13" s="96">
        <f t="shared" si="5"/>
        <v>1554.6</v>
      </c>
      <c r="AA13" s="94">
        <f t="shared" si="5"/>
        <v>1412.1</v>
      </c>
      <c r="AB13" s="95">
        <f t="shared" si="5"/>
        <v>2057.4</v>
      </c>
      <c r="AC13" s="95">
        <f>AC5+AC9</f>
        <v>1603.7</v>
      </c>
      <c r="AD13" s="96">
        <f t="shared" si="5"/>
        <v>1951.4</v>
      </c>
      <c r="AE13" s="95">
        <f>AE5+AE9</f>
        <v>2700.3</v>
      </c>
      <c r="AF13" s="95">
        <f>AF5+AF9</f>
        <v>2903.7</v>
      </c>
      <c r="AG13" s="95">
        <f>AG5+AG9</f>
        <v>1455.3999999999999</v>
      </c>
    </row>
    <row r="14" spans="1:33" s="7" customFormat="1" ht="12.75">
      <c r="A14" s="89"/>
      <c r="B14" s="89"/>
      <c r="C14" s="39"/>
      <c r="D14" s="40"/>
      <c r="E14" s="40"/>
      <c r="F14" s="40"/>
      <c r="G14" s="39"/>
      <c r="H14" s="40"/>
      <c r="I14" s="40"/>
      <c r="J14" s="41"/>
      <c r="K14" s="39"/>
      <c r="L14" s="40"/>
      <c r="M14" s="40"/>
      <c r="N14" s="41"/>
      <c r="O14" s="39"/>
      <c r="P14" s="40"/>
      <c r="Q14" s="40"/>
      <c r="R14" s="41"/>
      <c r="S14" s="39"/>
      <c r="T14" s="40"/>
      <c r="U14" s="40"/>
      <c r="V14" s="41"/>
      <c r="W14" s="39"/>
      <c r="X14" s="40"/>
      <c r="Y14" s="40"/>
      <c r="Z14" s="41"/>
      <c r="AA14" s="39"/>
      <c r="AB14" s="40"/>
      <c r="AC14" s="40"/>
      <c r="AD14" s="41"/>
      <c r="AE14" s="40"/>
      <c r="AF14" s="40"/>
      <c r="AG14" s="40"/>
    </row>
    <row r="15" spans="1:33" s="9" customFormat="1" ht="12.75">
      <c r="A15" s="89" t="s">
        <v>298</v>
      </c>
      <c r="B15" s="89" t="s">
        <v>93</v>
      </c>
      <c r="C15" s="46">
        <f>C16+C18</f>
        <v>12001.7</v>
      </c>
      <c r="D15" s="47">
        <f aca="true" t="shared" si="6" ref="D15:X15">D16+D18</f>
        <v>9593.8</v>
      </c>
      <c r="E15" s="47">
        <f t="shared" si="6"/>
        <v>8529.2</v>
      </c>
      <c r="F15" s="47">
        <f t="shared" si="6"/>
        <v>8547.5</v>
      </c>
      <c r="G15" s="46">
        <f t="shared" si="6"/>
        <v>10159.7</v>
      </c>
      <c r="H15" s="47">
        <f t="shared" si="6"/>
        <v>10816.199999999999</v>
      </c>
      <c r="I15" s="47">
        <f t="shared" si="6"/>
        <v>12385.2</v>
      </c>
      <c r="J15" s="48">
        <f t="shared" si="6"/>
        <v>10739.1</v>
      </c>
      <c r="K15" s="46">
        <f t="shared" si="6"/>
        <v>8517.5</v>
      </c>
      <c r="L15" s="47">
        <f t="shared" si="6"/>
        <v>8329.5</v>
      </c>
      <c r="M15" s="47">
        <f t="shared" si="6"/>
        <v>6990.8</v>
      </c>
      <c r="N15" s="48">
        <f t="shared" si="6"/>
        <v>6835.9</v>
      </c>
      <c r="O15" s="46">
        <f t="shared" si="6"/>
        <v>14852.8</v>
      </c>
      <c r="P15" s="47">
        <f t="shared" si="6"/>
        <v>14323.7</v>
      </c>
      <c r="Q15" s="47">
        <f t="shared" si="6"/>
        <v>12239.900000000001</v>
      </c>
      <c r="R15" s="48">
        <f t="shared" si="6"/>
        <v>16788.8</v>
      </c>
      <c r="S15" s="46">
        <f t="shared" si="6"/>
        <v>17266.8</v>
      </c>
      <c r="T15" s="47">
        <f t="shared" si="6"/>
        <v>18998.1</v>
      </c>
      <c r="U15" s="47">
        <f t="shared" si="6"/>
        <v>17379.6</v>
      </c>
      <c r="V15" s="48">
        <f t="shared" si="6"/>
        <v>15468.400000000001</v>
      </c>
      <c r="W15" s="46">
        <f t="shared" si="6"/>
        <v>11765.1</v>
      </c>
      <c r="X15" s="47">
        <f t="shared" si="6"/>
        <v>10298.999999999998</v>
      </c>
      <c r="Y15" s="47">
        <f aca="true" t="shared" si="7" ref="Y15:AD15">Y16+Y18</f>
        <v>13536.099999999999</v>
      </c>
      <c r="Z15" s="48">
        <f t="shared" si="7"/>
        <v>17881.100000000002</v>
      </c>
      <c r="AA15" s="46">
        <f t="shared" si="7"/>
        <v>18003.9</v>
      </c>
      <c r="AB15" s="47">
        <f t="shared" si="7"/>
        <v>20256.699999999997</v>
      </c>
      <c r="AC15" s="47">
        <f t="shared" si="7"/>
        <v>19794</v>
      </c>
      <c r="AD15" s="48">
        <f t="shared" si="7"/>
        <v>19493.6</v>
      </c>
      <c r="AE15" s="47">
        <f>AE16+AE18</f>
        <v>20994.899999999998</v>
      </c>
      <c r="AF15" s="47">
        <f>AF16+AF18</f>
        <v>22090.4</v>
      </c>
      <c r="AG15" s="47">
        <f>AG16+AG18</f>
        <v>23190.600000000002</v>
      </c>
    </row>
    <row r="16" spans="1:33" s="9" customFormat="1" ht="12.75">
      <c r="A16" s="88" t="s">
        <v>299</v>
      </c>
      <c r="B16" s="88" t="s">
        <v>94</v>
      </c>
      <c r="C16" s="39">
        <v>11986.7</v>
      </c>
      <c r="D16" s="40">
        <v>9572.4</v>
      </c>
      <c r="E16" s="40">
        <v>8510.6</v>
      </c>
      <c r="F16" s="40">
        <v>8524.2</v>
      </c>
      <c r="G16" s="39">
        <v>10137.1</v>
      </c>
      <c r="H16" s="40">
        <v>10811.8</v>
      </c>
      <c r="I16" s="40">
        <v>12374.6</v>
      </c>
      <c r="J16" s="41">
        <v>10730.5</v>
      </c>
      <c r="K16" s="39">
        <v>8507.7</v>
      </c>
      <c r="L16" s="40">
        <v>8323</v>
      </c>
      <c r="M16" s="40">
        <v>6939.8</v>
      </c>
      <c r="N16" s="41">
        <v>6783</v>
      </c>
      <c r="O16" s="39">
        <v>14800.8</v>
      </c>
      <c r="P16" s="40">
        <v>14273.5</v>
      </c>
      <c r="Q16" s="40">
        <v>12185.7</v>
      </c>
      <c r="R16" s="41">
        <v>16740.5</v>
      </c>
      <c r="S16" s="39">
        <v>17218.7</v>
      </c>
      <c r="T16" s="40">
        <v>18950.3</v>
      </c>
      <c r="U16" s="40">
        <v>17350.3</v>
      </c>
      <c r="V16" s="41">
        <v>15437.7</v>
      </c>
      <c r="W16" s="39">
        <v>11736.1</v>
      </c>
      <c r="X16" s="40">
        <v>10278.199999999999</v>
      </c>
      <c r="Y16" s="40">
        <v>13516.3</v>
      </c>
      <c r="Z16" s="41">
        <v>17863.800000000003</v>
      </c>
      <c r="AA16" s="39">
        <v>17983.100000000002</v>
      </c>
      <c r="AB16" s="40">
        <v>20230.6</v>
      </c>
      <c r="AC16" s="40">
        <v>19766.9</v>
      </c>
      <c r="AD16" s="41">
        <v>19466.3</v>
      </c>
      <c r="AE16" s="40">
        <v>20970.899999999998</v>
      </c>
      <c r="AF16" s="40">
        <v>22064.100000000002</v>
      </c>
      <c r="AG16" s="40">
        <v>23166.300000000003</v>
      </c>
    </row>
    <row r="17" spans="1:33" s="66" customFormat="1" ht="20.25">
      <c r="A17" s="142" t="s">
        <v>300</v>
      </c>
      <c r="B17" s="107" t="s">
        <v>95</v>
      </c>
      <c r="C17" s="57">
        <v>0</v>
      </c>
      <c r="D17" s="58">
        <v>48.5</v>
      </c>
      <c r="E17" s="58">
        <v>151</v>
      </c>
      <c r="F17" s="58">
        <v>435.5</v>
      </c>
      <c r="G17" s="57">
        <v>2084.4</v>
      </c>
      <c r="H17" s="58">
        <v>3112.5</v>
      </c>
      <c r="I17" s="58">
        <v>4246.6</v>
      </c>
      <c r="J17" s="59">
        <v>3235.8</v>
      </c>
      <c r="K17" s="57">
        <v>3211.7</v>
      </c>
      <c r="L17" s="58">
        <v>3114.8</v>
      </c>
      <c r="M17" s="58">
        <v>3157.9</v>
      </c>
      <c r="N17" s="59">
        <v>3137.7</v>
      </c>
      <c r="O17" s="57">
        <v>3096.9</v>
      </c>
      <c r="P17" s="58">
        <v>3032</v>
      </c>
      <c r="Q17" s="58">
        <v>3076.3</v>
      </c>
      <c r="R17" s="59">
        <v>3221.4</v>
      </c>
      <c r="S17" s="57">
        <v>2118.7</v>
      </c>
      <c r="T17" s="58">
        <v>2097.7</v>
      </c>
      <c r="U17" s="58">
        <v>1459.4</v>
      </c>
      <c r="V17" s="59">
        <v>1020.3</v>
      </c>
      <c r="W17" s="57">
        <v>1031.8</v>
      </c>
      <c r="X17" s="58">
        <v>1007.1</v>
      </c>
      <c r="Y17" s="58">
        <v>1027.4</v>
      </c>
      <c r="Z17" s="59">
        <v>1042.3</v>
      </c>
      <c r="AA17" s="57">
        <v>790.7</v>
      </c>
      <c r="AB17" s="58">
        <v>2552.3</v>
      </c>
      <c r="AC17" s="58">
        <v>1543.2</v>
      </c>
      <c r="AD17" s="59">
        <v>1971.6</v>
      </c>
      <c r="AE17" s="58">
        <v>2885.7999999999997</v>
      </c>
      <c r="AF17" s="58">
        <v>2931.3</v>
      </c>
      <c r="AG17" s="58">
        <v>3488.1000000000004</v>
      </c>
    </row>
    <row r="18" spans="1:33" s="9" customFormat="1" ht="12.75">
      <c r="A18" s="90" t="s">
        <v>295</v>
      </c>
      <c r="B18" s="90" t="s">
        <v>91</v>
      </c>
      <c r="C18" s="39">
        <v>15</v>
      </c>
      <c r="D18" s="40">
        <v>21.4</v>
      </c>
      <c r="E18" s="40">
        <v>18.6</v>
      </c>
      <c r="F18" s="40">
        <v>23.3</v>
      </c>
      <c r="G18" s="39">
        <v>22.6</v>
      </c>
      <c r="H18" s="40">
        <v>4.4</v>
      </c>
      <c r="I18" s="40">
        <v>10.6</v>
      </c>
      <c r="J18" s="41">
        <v>8.6</v>
      </c>
      <c r="K18" s="39">
        <v>9.8</v>
      </c>
      <c r="L18" s="40">
        <v>6.5</v>
      </c>
      <c r="M18" s="40">
        <v>51</v>
      </c>
      <c r="N18" s="41">
        <v>52.9</v>
      </c>
      <c r="O18" s="39">
        <v>52</v>
      </c>
      <c r="P18" s="40">
        <v>50.2</v>
      </c>
      <c r="Q18" s="40">
        <v>54.2</v>
      </c>
      <c r="R18" s="41">
        <v>48.3</v>
      </c>
      <c r="S18" s="39">
        <v>48.1</v>
      </c>
      <c r="T18" s="40">
        <v>47.8</v>
      </c>
      <c r="U18" s="40">
        <v>29.3</v>
      </c>
      <c r="V18" s="41">
        <v>30.7</v>
      </c>
      <c r="W18" s="39">
        <v>29</v>
      </c>
      <c r="X18" s="40">
        <v>20.8</v>
      </c>
      <c r="Y18" s="40">
        <v>19.8</v>
      </c>
      <c r="Z18" s="41">
        <v>17.3</v>
      </c>
      <c r="AA18" s="39">
        <v>20.8</v>
      </c>
      <c r="AB18" s="40">
        <v>26.1</v>
      </c>
      <c r="AC18" s="40">
        <v>27.1</v>
      </c>
      <c r="AD18" s="41">
        <v>27.3</v>
      </c>
      <c r="AE18" s="40">
        <v>24</v>
      </c>
      <c r="AF18" s="40">
        <v>26.3</v>
      </c>
      <c r="AG18" s="40">
        <v>24.3</v>
      </c>
    </row>
    <row r="19" spans="1:33" s="9" customFormat="1" ht="20.25">
      <c r="A19" s="98" t="s">
        <v>301</v>
      </c>
      <c r="B19" s="98" t="s">
        <v>96</v>
      </c>
      <c r="C19" s="46">
        <f>SUM(C20)</f>
        <v>0</v>
      </c>
      <c r="D19" s="47">
        <f aca="true" t="shared" si="8" ref="D19:AG19">SUM(D20)</f>
        <v>0</v>
      </c>
      <c r="E19" s="47">
        <f t="shared" si="8"/>
        <v>620.7</v>
      </c>
      <c r="F19" s="47">
        <f t="shared" si="8"/>
        <v>840.8</v>
      </c>
      <c r="G19" s="46">
        <f t="shared" si="8"/>
        <v>3773.7</v>
      </c>
      <c r="H19" s="47">
        <f t="shared" si="8"/>
        <v>6185</v>
      </c>
      <c r="I19" s="47">
        <f t="shared" si="8"/>
        <v>7325.5</v>
      </c>
      <c r="J19" s="48">
        <f t="shared" si="8"/>
        <v>7311.8</v>
      </c>
      <c r="K19" s="46">
        <f t="shared" si="8"/>
        <v>7384.4</v>
      </c>
      <c r="L19" s="47">
        <f t="shared" si="8"/>
        <v>7238.7</v>
      </c>
      <c r="M19" s="47">
        <f t="shared" si="8"/>
        <v>7343.7</v>
      </c>
      <c r="N19" s="48">
        <f t="shared" si="8"/>
        <v>7330.4</v>
      </c>
      <c r="O19" s="46">
        <f t="shared" si="8"/>
        <v>6786.9</v>
      </c>
      <c r="P19" s="47">
        <f t="shared" si="8"/>
        <v>6685</v>
      </c>
      <c r="Q19" s="47">
        <f t="shared" si="8"/>
        <v>6496.5</v>
      </c>
      <c r="R19" s="48">
        <f t="shared" si="8"/>
        <v>6218</v>
      </c>
      <c r="S19" s="46">
        <f t="shared" si="8"/>
        <v>6307.3</v>
      </c>
      <c r="T19" s="47">
        <f t="shared" si="8"/>
        <v>4949.4</v>
      </c>
      <c r="U19" s="47">
        <f t="shared" si="8"/>
        <v>5016.7</v>
      </c>
      <c r="V19" s="48">
        <f t="shared" si="8"/>
        <v>4982.3</v>
      </c>
      <c r="W19" s="46">
        <f t="shared" si="8"/>
        <v>5054.7</v>
      </c>
      <c r="X19" s="47">
        <f t="shared" si="8"/>
        <v>3518.5</v>
      </c>
      <c r="Y19" s="47">
        <f t="shared" si="8"/>
        <v>0</v>
      </c>
      <c r="Z19" s="48">
        <f t="shared" si="8"/>
        <v>0</v>
      </c>
      <c r="AA19" s="46">
        <f t="shared" si="8"/>
        <v>0</v>
      </c>
      <c r="AB19" s="47">
        <f t="shared" si="8"/>
        <v>0</v>
      </c>
      <c r="AC19" s="47">
        <f t="shared" si="8"/>
        <v>0</v>
      </c>
      <c r="AD19" s="48">
        <f t="shared" si="8"/>
        <v>0</v>
      </c>
      <c r="AE19" s="47">
        <f t="shared" si="8"/>
        <v>0</v>
      </c>
      <c r="AF19" s="47">
        <f t="shared" si="8"/>
        <v>0</v>
      </c>
      <c r="AG19" s="47">
        <f t="shared" si="8"/>
        <v>0</v>
      </c>
    </row>
    <row r="20" spans="1:33" s="9" customFormat="1" ht="12.75">
      <c r="A20" s="90" t="s">
        <v>294</v>
      </c>
      <c r="B20" s="90" t="s">
        <v>90</v>
      </c>
      <c r="C20" s="39">
        <v>0</v>
      </c>
      <c r="D20" s="40">
        <v>0</v>
      </c>
      <c r="E20" s="40">
        <v>620.7</v>
      </c>
      <c r="F20" s="40">
        <v>840.8</v>
      </c>
      <c r="G20" s="39">
        <v>3773.7</v>
      </c>
      <c r="H20" s="40">
        <v>6185</v>
      </c>
      <c r="I20" s="40">
        <v>7325.5</v>
      </c>
      <c r="J20" s="41">
        <v>7311.8</v>
      </c>
      <c r="K20" s="39">
        <v>7384.4</v>
      </c>
      <c r="L20" s="40">
        <v>7238.7</v>
      </c>
      <c r="M20" s="40">
        <v>7343.7</v>
      </c>
      <c r="N20" s="41">
        <v>7330.4</v>
      </c>
      <c r="O20" s="39">
        <v>6786.9</v>
      </c>
      <c r="P20" s="40">
        <v>6685</v>
      </c>
      <c r="Q20" s="40">
        <v>6496.5</v>
      </c>
      <c r="R20" s="41">
        <v>6218</v>
      </c>
      <c r="S20" s="39">
        <v>6307.3</v>
      </c>
      <c r="T20" s="40">
        <v>4949.4</v>
      </c>
      <c r="U20" s="40">
        <v>5016.7</v>
      </c>
      <c r="V20" s="41">
        <v>4982.3</v>
      </c>
      <c r="W20" s="39">
        <v>5054.7</v>
      </c>
      <c r="X20" s="40">
        <v>3518.5</v>
      </c>
      <c r="Y20" s="40">
        <v>0</v>
      </c>
      <c r="Z20" s="41">
        <v>0</v>
      </c>
      <c r="AA20" s="39">
        <v>0</v>
      </c>
      <c r="AB20" s="40">
        <v>0</v>
      </c>
      <c r="AC20" s="40">
        <v>0</v>
      </c>
      <c r="AD20" s="41">
        <v>0</v>
      </c>
      <c r="AE20" s="40">
        <v>0</v>
      </c>
      <c r="AF20" s="40">
        <v>0</v>
      </c>
      <c r="AG20" s="40">
        <v>0</v>
      </c>
    </row>
    <row r="21" spans="1:33" s="13" customFormat="1" ht="12.75">
      <c r="A21" s="99" t="s">
        <v>302</v>
      </c>
      <c r="B21" s="99" t="s">
        <v>97</v>
      </c>
      <c r="C21" s="94">
        <f>C15+C19</f>
        <v>12001.7</v>
      </c>
      <c r="D21" s="95">
        <f aca="true" t="shared" si="9" ref="D21:X21">D15+D19</f>
        <v>9593.8</v>
      </c>
      <c r="E21" s="95">
        <f t="shared" si="9"/>
        <v>9149.900000000001</v>
      </c>
      <c r="F21" s="95">
        <f t="shared" si="9"/>
        <v>9388.3</v>
      </c>
      <c r="G21" s="94">
        <f t="shared" si="9"/>
        <v>13933.400000000001</v>
      </c>
      <c r="H21" s="95">
        <f t="shared" si="9"/>
        <v>17001.199999999997</v>
      </c>
      <c r="I21" s="95">
        <f t="shared" si="9"/>
        <v>19710.7</v>
      </c>
      <c r="J21" s="96">
        <f t="shared" si="9"/>
        <v>18050.9</v>
      </c>
      <c r="K21" s="94">
        <f t="shared" si="9"/>
        <v>15901.9</v>
      </c>
      <c r="L21" s="95">
        <f t="shared" si="9"/>
        <v>15568.2</v>
      </c>
      <c r="M21" s="95">
        <f t="shared" si="9"/>
        <v>14334.5</v>
      </c>
      <c r="N21" s="96">
        <f t="shared" si="9"/>
        <v>14166.3</v>
      </c>
      <c r="O21" s="94">
        <f t="shared" si="9"/>
        <v>21639.699999999997</v>
      </c>
      <c r="P21" s="95">
        <f t="shared" si="9"/>
        <v>21008.7</v>
      </c>
      <c r="Q21" s="95">
        <f t="shared" si="9"/>
        <v>18736.4</v>
      </c>
      <c r="R21" s="96">
        <f t="shared" si="9"/>
        <v>23006.8</v>
      </c>
      <c r="S21" s="94">
        <f t="shared" si="9"/>
        <v>23574.1</v>
      </c>
      <c r="T21" s="95">
        <f t="shared" si="9"/>
        <v>23947.5</v>
      </c>
      <c r="U21" s="95">
        <f t="shared" si="9"/>
        <v>22396.3</v>
      </c>
      <c r="V21" s="96">
        <f t="shared" si="9"/>
        <v>20450.7</v>
      </c>
      <c r="W21" s="94">
        <f t="shared" si="9"/>
        <v>16819.8</v>
      </c>
      <c r="X21" s="95">
        <f t="shared" si="9"/>
        <v>13817.499999999998</v>
      </c>
      <c r="Y21" s="95">
        <f aca="true" t="shared" si="10" ref="Y21:AD21">Y15+Y19</f>
        <v>13536.099999999999</v>
      </c>
      <c r="Z21" s="96">
        <f t="shared" si="10"/>
        <v>17881.100000000002</v>
      </c>
      <c r="AA21" s="94">
        <f t="shared" si="10"/>
        <v>18003.9</v>
      </c>
      <c r="AB21" s="95">
        <f t="shared" si="10"/>
        <v>20256.699999999997</v>
      </c>
      <c r="AC21" s="95">
        <f t="shared" si="10"/>
        <v>19794</v>
      </c>
      <c r="AD21" s="96">
        <f t="shared" si="10"/>
        <v>19493.6</v>
      </c>
      <c r="AE21" s="95">
        <f>AE15+AE19</f>
        <v>20994.899999999998</v>
      </c>
      <c r="AF21" s="95">
        <f>AF15+AF19</f>
        <v>22090.4</v>
      </c>
      <c r="AG21" s="95">
        <f>AG15+AG19</f>
        <v>23190.600000000002</v>
      </c>
    </row>
    <row r="22" spans="1:2" ht="12.75">
      <c r="A22" s="3"/>
      <c r="B22" s="3"/>
    </row>
    <row r="23" spans="1:2" ht="12.75">
      <c r="A23" s="3"/>
      <c r="B23" s="3"/>
    </row>
    <row r="24" spans="1:2" ht="12.75">
      <c r="A24" s="3"/>
      <c r="B24" s="3"/>
    </row>
    <row r="25" spans="1:2" ht="12.75">
      <c r="A25" s="3"/>
      <c r="B25" s="3"/>
    </row>
    <row r="26" spans="1:2" ht="12.75">
      <c r="A26" s="3"/>
      <c r="B26" s="3"/>
    </row>
    <row r="27" spans="1:2" ht="12.75">
      <c r="A27" s="3"/>
      <c r="B27" s="3"/>
    </row>
    <row r="28" spans="1:2" ht="12.75">
      <c r="A28" s="3"/>
      <c r="B28" s="3"/>
    </row>
    <row r="29" spans="1:2" ht="12.75">
      <c r="A29" s="3"/>
      <c r="B29" s="3"/>
    </row>
    <row r="30" spans="1:2" ht="12.75">
      <c r="A30" s="3"/>
      <c r="B30" s="3"/>
    </row>
    <row r="31" spans="1:2" ht="12.75">
      <c r="A31" s="3"/>
      <c r="B31" s="3"/>
    </row>
    <row r="32" spans="1:2" ht="12.75">
      <c r="A32" s="3"/>
      <c r="B32" s="3"/>
    </row>
    <row r="33" spans="1:2" ht="12.75">
      <c r="A33" s="3"/>
      <c r="B33" s="3"/>
    </row>
    <row r="34" spans="1:2" ht="12.75">
      <c r="A34" s="3"/>
      <c r="B34" s="3"/>
    </row>
    <row r="35" spans="1:2" ht="12.75">
      <c r="A35" s="3"/>
      <c r="B35" s="3"/>
    </row>
    <row r="36" spans="1:2" ht="12.75">
      <c r="A36" s="3"/>
      <c r="B36" s="3"/>
    </row>
    <row r="37" spans="1:2" ht="12.75">
      <c r="A37" s="3"/>
      <c r="B37" s="3"/>
    </row>
    <row r="38" spans="1:2" ht="12.75">
      <c r="A38" s="3"/>
      <c r="B38" s="3"/>
    </row>
    <row r="39" spans="1:2" ht="12.75">
      <c r="A39" s="3"/>
      <c r="B39" s="3"/>
    </row>
    <row r="40" spans="1:2" ht="12.75">
      <c r="A40" s="3"/>
      <c r="B40" s="3"/>
    </row>
    <row r="41" spans="1:2" ht="12.75">
      <c r="A41" s="3"/>
      <c r="B41" s="3"/>
    </row>
    <row r="42" spans="1:2" ht="12.75">
      <c r="A42" s="3"/>
      <c r="B42" s="3"/>
    </row>
  </sheetData>
  <sheetProtection/>
  <mergeCells count="10">
    <mergeCell ref="AE2:AG2"/>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horizontalDpi="600" verticalDpi="600" orientation="landscape" paperSize="9" scale="54" r:id="rId1"/>
  <headerFooter alignWithMargins="0">
    <oddHeader>&amp;C&amp;"Times New Roman,Kursywa"&amp;12
</oddHeader>
  </headerFooter>
</worksheet>
</file>

<file path=xl/worksheets/sheet12.xml><?xml version="1.0" encoding="utf-8"?>
<worksheet xmlns="http://schemas.openxmlformats.org/spreadsheetml/2006/main" xmlns:r="http://schemas.openxmlformats.org/officeDocument/2006/relationships">
  <dimension ref="A2:AG45"/>
  <sheetViews>
    <sheetView showGridLines="0" view="pageBreakPreview" zoomScale="85" zoomScaleSheetLayoutView="85" zoomScalePageLayoutView="80" workbookViewId="0" topLeftCell="A2">
      <pane xSplit="2" ySplit="3" topLeftCell="M5" activePane="bottomRight" state="frozen"/>
      <selection pane="topLeft" activeCell="B2" sqref="B2:B3"/>
      <selection pane="topRight" activeCell="B2" sqref="B2:B3"/>
      <selection pane="bottomLeft" activeCell="B2" sqref="B2:B3"/>
      <selection pane="bottomRight" activeCell="A3" sqref="A3:A4"/>
    </sheetView>
  </sheetViews>
  <sheetFormatPr defaultColWidth="9.00390625" defaultRowHeight="12.75" outlineLevelCol="1"/>
  <cols>
    <col min="1" max="1" width="49.625" style="2" customWidth="1"/>
    <col min="2" max="2" width="52.375" style="2" hidden="1" customWidth="1" outlineLevel="1"/>
    <col min="3" max="3" width="7.875" style="3" bestFit="1" customWidth="1" collapsed="1"/>
    <col min="4" max="30" width="7.875" style="3" bestFit="1" customWidth="1"/>
    <col min="31" max="33" width="8.125" style="3" bestFit="1" customWidth="1"/>
    <col min="34" max="16384" width="8.875" style="3" customWidth="1"/>
  </cols>
  <sheetData>
    <row r="2" spans="1:2" ht="12.75">
      <c r="A2" s="259" t="s">
        <v>585</v>
      </c>
      <c r="B2" s="259" t="s">
        <v>586</v>
      </c>
    </row>
    <row r="3" spans="1:33" ht="12.75">
      <c r="A3" s="343" t="s">
        <v>338</v>
      </c>
      <c r="B3" s="343" t="s">
        <v>145</v>
      </c>
      <c r="C3" s="340">
        <v>2007</v>
      </c>
      <c r="D3" s="341"/>
      <c r="E3" s="341"/>
      <c r="F3" s="341"/>
      <c r="G3" s="340">
        <v>2008</v>
      </c>
      <c r="H3" s="341"/>
      <c r="I3" s="341"/>
      <c r="J3" s="341"/>
      <c r="K3" s="340">
        <v>2009</v>
      </c>
      <c r="L3" s="341"/>
      <c r="M3" s="341"/>
      <c r="N3" s="341"/>
      <c r="O3" s="340">
        <v>2010</v>
      </c>
      <c r="P3" s="341"/>
      <c r="Q3" s="341"/>
      <c r="R3" s="341"/>
      <c r="S3" s="340">
        <v>2011</v>
      </c>
      <c r="T3" s="341"/>
      <c r="U3" s="341"/>
      <c r="V3" s="341"/>
      <c r="W3" s="340">
        <v>2012</v>
      </c>
      <c r="X3" s="341"/>
      <c r="Y3" s="341"/>
      <c r="Z3" s="342"/>
      <c r="AA3" s="340">
        <v>2013</v>
      </c>
      <c r="AB3" s="341"/>
      <c r="AC3" s="341"/>
      <c r="AD3" s="342"/>
      <c r="AE3" s="350">
        <v>2014</v>
      </c>
      <c r="AF3" s="351"/>
      <c r="AG3" s="351"/>
    </row>
    <row r="4" spans="1:33" s="4" customFormat="1" ht="12.75">
      <c r="A4" s="344"/>
      <c r="B4" s="344"/>
      <c r="C4" s="34" t="s">
        <v>180</v>
      </c>
      <c r="D4" s="35" t="s">
        <v>181</v>
      </c>
      <c r="E4" s="35" t="s">
        <v>182</v>
      </c>
      <c r="F4" s="35" t="s">
        <v>183</v>
      </c>
      <c r="G4" s="34" t="s">
        <v>180</v>
      </c>
      <c r="H4" s="35" t="s">
        <v>181</v>
      </c>
      <c r="I4" s="35" t="s">
        <v>182</v>
      </c>
      <c r="J4" s="35" t="s">
        <v>183</v>
      </c>
      <c r="K4" s="34" t="s">
        <v>180</v>
      </c>
      <c r="L4" s="35" t="s">
        <v>181</v>
      </c>
      <c r="M4" s="35" t="s">
        <v>182</v>
      </c>
      <c r="N4" s="35" t="s">
        <v>183</v>
      </c>
      <c r="O4" s="34" t="s">
        <v>180</v>
      </c>
      <c r="P4" s="35" t="s">
        <v>181</v>
      </c>
      <c r="Q4" s="35" t="s">
        <v>182</v>
      </c>
      <c r="R4" s="35" t="s">
        <v>183</v>
      </c>
      <c r="S4" s="34" t="s">
        <v>180</v>
      </c>
      <c r="T4" s="35" t="s">
        <v>181</v>
      </c>
      <c r="U4" s="35" t="s">
        <v>182</v>
      </c>
      <c r="V4" s="35" t="s">
        <v>183</v>
      </c>
      <c r="W4" s="34" t="s">
        <v>180</v>
      </c>
      <c r="X4" s="35" t="s">
        <v>181</v>
      </c>
      <c r="Y4" s="35" t="s">
        <v>182</v>
      </c>
      <c r="Z4" s="36" t="s">
        <v>183</v>
      </c>
      <c r="AA4" s="197" t="s">
        <v>180</v>
      </c>
      <c r="AB4" s="198" t="s">
        <v>181</v>
      </c>
      <c r="AC4" s="198" t="s">
        <v>182</v>
      </c>
      <c r="AD4" s="199" t="s">
        <v>183</v>
      </c>
      <c r="AE4" s="198" t="s">
        <v>180</v>
      </c>
      <c r="AF4" s="198" t="s">
        <v>181</v>
      </c>
      <c r="AG4" s="198" t="s">
        <v>182</v>
      </c>
    </row>
    <row r="5" spans="1:33" s="4" customFormat="1" ht="12.75" customHeight="1">
      <c r="A5" s="20" t="s">
        <v>185</v>
      </c>
      <c r="B5" s="20" t="s">
        <v>12</v>
      </c>
      <c r="C5" s="16"/>
      <c r="D5" s="6"/>
      <c r="E5" s="5"/>
      <c r="F5" s="6"/>
      <c r="G5" s="16"/>
      <c r="H5" s="6"/>
      <c r="I5" s="5"/>
      <c r="J5" s="17"/>
      <c r="K5" s="16"/>
      <c r="L5" s="6"/>
      <c r="M5" s="5"/>
      <c r="N5" s="17"/>
      <c r="O5" s="16"/>
      <c r="P5" s="6"/>
      <c r="Q5" s="5"/>
      <c r="R5" s="17"/>
      <c r="S5" s="16"/>
      <c r="T5" s="6"/>
      <c r="U5" s="5"/>
      <c r="V5" s="17"/>
      <c r="W5" s="16"/>
      <c r="X5" s="5"/>
      <c r="Y5" s="5"/>
      <c r="Z5" s="18"/>
      <c r="AA5" s="16"/>
      <c r="AB5" s="5"/>
      <c r="AC5" s="5"/>
      <c r="AD5" s="18"/>
      <c r="AE5" s="5"/>
      <c r="AF5" s="5"/>
      <c r="AG5" s="5"/>
    </row>
    <row r="6" spans="1:33" s="7" customFormat="1" ht="12.75">
      <c r="A6" s="88" t="s">
        <v>339</v>
      </c>
      <c r="B6" s="88" t="s">
        <v>136</v>
      </c>
      <c r="C6" s="39">
        <f aca="true" t="shared" si="0" ref="C6:AF6">SUM(C15,C24,C29,C37)</f>
        <v>37903.5</v>
      </c>
      <c r="D6" s="40">
        <f t="shared" si="0"/>
        <v>37613</v>
      </c>
      <c r="E6" s="40">
        <f t="shared" si="0"/>
        <v>38935.5</v>
      </c>
      <c r="F6" s="40">
        <f t="shared" si="0"/>
        <v>42952.5</v>
      </c>
      <c r="G6" s="39">
        <f t="shared" si="0"/>
        <v>44101.600000000006</v>
      </c>
      <c r="H6" s="40">
        <f t="shared" si="0"/>
        <v>46759.299999999996</v>
      </c>
      <c r="I6" s="40">
        <f t="shared" si="0"/>
        <v>50335.3</v>
      </c>
      <c r="J6" s="41">
        <f t="shared" si="0"/>
        <v>46272.899999999994</v>
      </c>
      <c r="K6" s="39">
        <f t="shared" si="0"/>
        <v>45506.7</v>
      </c>
      <c r="L6" s="40">
        <f t="shared" si="0"/>
        <v>44812.899999999994</v>
      </c>
      <c r="M6" s="40">
        <f t="shared" si="0"/>
        <v>45736.9</v>
      </c>
      <c r="N6" s="41">
        <f t="shared" si="0"/>
        <v>46716.2</v>
      </c>
      <c r="O6" s="39">
        <f t="shared" si="0"/>
        <v>45152.9</v>
      </c>
      <c r="P6" s="40">
        <f t="shared" si="0"/>
        <v>45225.5</v>
      </c>
      <c r="Q6" s="40">
        <f t="shared" si="0"/>
        <v>47089.399999999994</v>
      </c>
      <c r="R6" s="41">
        <f t="shared" si="0"/>
        <v>46836.899999999994</v>
      </c>
      <c r="S6" s="39">
        <f t="shared" si="0"/>
        <v>45715.100000000006</v>
      </c>
      <c r="T6" s="40">
        <f t="shared" si="0"/>
        <v>47540.600000000006</v>
      </c>
      <c r="U6" s="40">
        <f t="shared" si="0"/>
        <v>50040.09999999999</v>
      </c>
      <c r="V6" s="41">
        <f t="shared" si="0"/>
        <v>52334.6</v>
      </c>
      <c r="W6" s="39">
        <f t="shared" si="0"/>
        <v>51532.3</v>
      </c>
      <c r="X6" s="40">
        <f t="shared" si="0"/>
        <v>53224.6</v>
      </c>
      <c r="Y6" s="40">
        <f t="shared" si="0"/>
        <v>53895.799999999996</v>
      </c>
      <c r="Z6" s="41">
        <f t="shared" si="0"/>
        <v>56793.8</v>
      </c>
      <c r="AA6" s="39">
        <f t="shared" si="0"/>
        <v>56957.1</v>
      </c>
      <c r="AB6" s="40">
        <f t="shared" si="0"/>
        <v>60855.7</v>
      </c>
      <c r="AC6" s="40">
        <f t="shared" si="0"/>
        <v>65049.6</v>
      </c>
      <c r="AD6" s="41">
        <f t="shared" si="0"/>
        <v>66326.6</v>
      </c>
      <c r="AE6" s="40">
        <f t="shared" si="0"/>
        <v>65888.4</v>
      </c>
      <c r="AF6" s="40">
        <f t="shared" si="0"/>
        <v>68367.2</v>
      </c>
      <c r="AG6" s="40">
        <f>SUM(AG15,AG24,AG29,AG37)</f>
        <v>70325.90000000001</v>
      </c>
    </row>
    <row r="7" spans="1:33" s="7" customFormat="1" ht="12.75">
      <c r="A7" s="38" t="s">
        <v>340</v>
      </c>
      <c r="B7" s="38" t="s">
        <v>137</v>
      </c>
      <c r="C7" s="39">
        <f aca="true" t="shared" si="1" ref="C7:AF7">SUM(C18,C27,C32,C40)</f>
        <v>481</v>
      </c>
      <c r="D7" s="40">
        <f t="shared" si="1"/>
        <v>648.6999999999999</v>
      </c>
      <c r="E7" s="40">
        <f t="shared" si="1"/>
        <v>659.7999999999997</v>
      </c>
      <c r="F7" s="40">
        <f t="shared" si="1"/>
        <v>694</v>
      </c>
      <c r="G7" s="39">
        <f t="shared" si="1"/>
        <v>542.6</v>
      </c>
      <c r="H7" s="40">
        <f t="shared" si="1"/>
        <v>625.9</v>
      </c>
      <c r="I7" s="40">
        <f t="shared" si="1"/>
        <v>634.6</v>
      </c>
      <c r="J7" s="41">
        <f t="shared" si="1"/>
        <v>592</v>
      </c>
      <c r="K7" s="39">
        <f t="shared" si="1"/>
        <v>716.5</v>
      </c>
      <c r="L7" s="40">
        <f t="shared" si="1"/>
        <v>720.2</v>
      </c>
      <c r="M7" s="40">
        <f t="shared" si="1"/>
        <v>728.9</v>
      </c>
      <c r="N7" s="41">
        <f t="shared" si="1"/>
        <v>556.9000000000001</v>
      </c>
      <c r="O7" s="39">
        <f t="shared" si="1"/>
        <v>541.6</v>
      </c>
      <c r="P7" s="40">
        <f t="shared" si="1"/>
        <v>597.4000000000001</v>
      </c>
      <c r="Q7" s="40">
        <f t="shared" si="1"/>
        <v>578.5</v>
      </c>
      <c r="R7" s="41">
        <f t="shared" si="1"/>
        <v>563.1999999999999</v>
      </c>
      <c r="S7" s="39">
        <f t="shared" si="1"/>
        <v>624.1</v>
      </c>
      <c r="T7" s="40">
        <f t="shared" si="1"/>
        <v>646.4000000000001</v>
      </c>
      <c r="U7" s="40">
        <f t="shared" si="1"/>
        <v>656.5999999999999</v>
      </c>
      <c r="V7" s="41">
        <f t="shared" si="1"/>
        <v>481.4000000000001</v>
      </c>
      <c r="W7" s="39">
        <f t="shared" si="1"/>
        <v>863.5999999999999</v>
      </c>
      <c r="X7" s="40">
        <f t="shared" si="1"/>
        <v>928.8000000000001</v>
      </c>
      <c r="Y7" s="40">
        <f t="shared" si="1"/>
        <v>966.9000000000002</v>
      </c>
      <c r="Z7" s="41">
        <f t="shared" si="1"/>
        <v>1063.6999999999998</v>
      </c>
      <c r="AA7" s="39">
        <f t="shared" si="1"/>
        <v>1092.6000000000001</v>
      </c>
      <c r="AB7" s="40">
        <f t="shared" si="1"/>
        <v>1093</v>
      </c>
      <c r="AC7" s="40">
        <f t="shared" si="1"/>
        <v>1142.1000000000001</v>
      </c>
      <c r="AD7" s="41">
        <f t="shared" si="1"/>
        <v>1003.8000000000001</v>
      </c>
      <c r="AE7" s="40">
        <f t="shared" si="1"/>
        <v>1013.5</v>
      </c>
      <c r="AF7" s="40">
        <f t="shared" si="1"/>
        <v>1218.2</v>
      </c>
      <c r="AG7" s="40">
        <f>SUM(AG18,AG27,AG32,AG40)</f>
        <v>1160.6999999999998</v>
      </c>
    </row>
    <row r="8" spans="1:33" s="208" customFormat="1" ht="17.25" customHeight="1">
      <c r="A8" s="148" t="s">
        <v>341</v>
      </c>
      <c r="B8" s="148" t="s">
        <v>146</v>
      </c>
      <c r="C8" s="205">
        <f>SUM(C6:C7)</f>
        <v>38384.5</v>
      </c>
      <c r="D8" s="206">
        <f aca="true" t="shared" si="2" ref="D8:AB8">SUM(D6:D7)</f>
        <v>38261.7</v>
      </c>
      <c r="E8" s="206">
        <f t="shared" si="2"/>
        <v>39595.3</v>
      </c>
      <c r="F8" s="206">
        <f t="shared" si="2"/>
        <v>43646.5</v>
      </c>
      <c r="G8" s="205">
        <f t="shared" si="2"/>
        <v>44644.200000000004</v>
      </c>
      <c r="H8" s="206">
        <f t="shared" si="2"/>
        <v>47385.2</v>
      </c>
      <c r="I8" s="206">
        <f t="shared" si="2"/>
        <v>50969.9</v>
      </c>
      <c r="J8" s="207">
        <f t="shared" si="2"/>
        <v>46864.899999999994</v>
      </c>
      <c r="K8" s="205">
        <f t="shared" si="2"/>
        <v>46223.2</v>
      </c>
      <c r="L8" s="206">
        <f t="shared" si="2"/>
        <v>45533.09999999999</v>
      </c>
      <c r="M8" s="206">
        <f t="shared" si="2"/>
        <v>46465.8</v>
      </c>
      <c r="N8" s="207">
        <f t="shared" si="2"/>
        <v>47273.1</v>
      </c>
      <c r="O8" s="205">
        <f t="shared" si="2"/>
        <v>45694.5</v>
      </c>
      <c r="P8" s="206">
        <f t="shared" si="2"/>
        <v>45822.9</v>
      </c>
      <c r="Q8" s="206">
        <f t="shared" si="2"/>
        <v>47667.899999999994</v>
      </c>
      <c r="R8" s="207">
        <f t="shared" si="2"/>
        <v>47400.09999999999</v>
      </c>
      <c r="S8" s="205">
        <f t="shared" si="2"/>
        <v>46339.200000000004</v>
      </c>
      <c r="T8" s="206">
        <f t="shared" si="2"/>
        <v>48187.00000000001</v>
      </c>
      <c r="U8" s="206">
        <f t="shared" si="2"/>
        <v>50696.69999999999</v>
      </c>
      <c r="V8" s="207">
        <f t="shared" si="2"/>
        <v>52816</v>
      </c>
      <c r="W8" s="205">
        <f t="shared" si="2"/>
        <v>52395.9</v>
      </c>
      <c r="X8" s="206">
        <f t="shared" si="2"/>
        <v>54153.4</v>
      </c>
      <c r="Y8" s="206">
        <f t="shared" si="2"/>
        <v>54862.7</v>
      </c>
      <c r="Z8" s="207">
        <f t="shared" si="2"/>
        <v>57857.5</v>
      </c>
      <c r="AA8" s="205">
        <f t="shared" si="2"/>
        <v>58049.7</v>
      </c>
      <c r="AB8" s="206">
        <f t="shared" si="2"/>
        <v>61948.7</v>
      </c>
      <c r="AC8" s="206">
        <f>SUM(AC6:AC7)</f>
        <v>66191.7</v>
      </c>
      <c r="AD8" s="207">
        <f>SUM(AD6:AD7)</f>
        <v>67330.40000000001</v>
      </c>
      <c r="AE8" s="206">
        <f>SUM(AE6:AE7)</f>
        <v>66901.9</v>
      </c>
      <c r="AF8" s="206">
        <f>SUM(AF6:AF7)</f>
        <v>69585.4</v>
      </c>
      <c r="AG8" s="206">
        <f>SUM(AG6:AG7)</f>
        <v>71486.6</v>
      </c>
    </row>
    <row r="9" spans="1:33" s="9" customFormat="1" ht="12.75">
      <c r="A9" s="90" t="s">
        <v>398</v>
      </c>
      <c r="B9" s="90" t="s">
        <v>147</v>
      </c>
      <c r="C9" s="39">
        <f>SUM(C19)</f>
        <v>2997.5</v>
      </c>
      <c r="D9" s="40">
        <f aca="true" t="shared" si="3" ref="D9:X9">SUM(D19)</f>
        <v>2818.1000000000004</v>
      </c>
      <c r="E9" s="40">
        <f t="shared" si="3"/>
        <v>2449.8999999999996</v>
      </c>
      <c r="F9" s="40">
        <f t="shared" si="3"/>
        <v>2342.2</v>
      </c>
      <c r="G9" s="39">
        <f t="shared" si="3"/>
        <v>2451.3</v>
      </c>
      <c r="H9" s="40">
        <f t="shared" si="3"/>
        <v>3741.7999999999997</v>
      </c>
      <c r="I9" s="40">
        <f t="shared" si="3"/>
        <v>3316.5</v>
      </c>
      <c r="J9" s="41">
        <f t="shared" si="3"/>
        <v>4351.4</v>
      </c>
      <c r="K9" s="39">
        <f t="shared" si="3"/>
        <v>4869.099999999999</v>
      </c>
      <c r="L9" s="40">
        <f t="shared" si="3"/>
        <v>3957</v>
      </c>
      <c r="M9" s="40">
        <f t="shared" si="3"/>
        <v>4287.8</v>
      </c>
      <c r="N9" s="41">
        <f t="shared" si="3"/>
        <v>3399.5</v>
      </c>
      <c r="O9" s="39">
        <f t="shared" si="3"/>
        <v>3134.6</v>
      </c>
      <c r="P9" s="40">
        <f t="shared" si="3"/>
        <v>3894.3</v>
      </c>
      <c r="Q9" s="40">
        <f t="shared" si="3"/>
        <v>3285.7999999999997</v>
      </c>
      <c r="R9" s="41">
        <f t="shared" si="3"/>
        <v>2677.9</v>
      </c>
      <c r="S9" s="39">
        <f t="shared" si="3"/>
        <v>2748.5</v>
      </c>
      <c r="T9" s="40">
        <f t="shared" si="3"/>
        <v>2747.6000000000004</v>
      </c>
      <c r="U9" s="40">
        <f t="shared" si="3"/>
        <v>2416.7</v>
      </c>
      <c r="V9" s="41">
        <f t="shared" si="3"/>
        <v>2966.1</v>
      </c>
      <c r="W9" s="39">
        <f t="shared" si="3"/>
        <v>3079.1</v>
      </c>
      <c r="X9" s="40">
        <f t="shared" si="3"/>
        <v>3690.3999999999996</v>
      </c>
      <c r="Y9" s="40">
        <f aca="true" t="shared" si="4" ref="Y9:AD9">SUM(Y19)</f>
        <v>3180</v>
      </c>
      <c r="Z9" s="41">
        <f t="shared" si="4"/>
        <v>3503.7999999999997</v>
      </c>
      <c r="AA9" s="39">
        <f t="shared" si="4"/>
        <v>2363.6</v>
      </c>
      <c r="AB9" s="40">
        <f t="shared" si="4"/>
        <v>2491.1</v>
      </c>
      <c r="AC9" s="40">
        <f t="shared" si="4"/>
        <v>3668.4999999999995</v>
      </c>
      <c r="AD9" s="41">
        <f t="shared" si="4"/>
        <v>2998.7</v>
      </c>
      <c r="AE9" s="40">
        <f>SUM(AE19)</f>
        <v>2268.2999999999997</v>
      </c>
      <c r="AF9" s="40">
        <f>SUM(AF19)</f>
        <v>2537.7</v>
      </c>
      <c r="AG9" s="40">
        <f>SUM(AG19)</f>
        <v>2709.9</v>
      </c>
    </row>
    <row r="10" spans="1:33" s="9" customFormat="1" ht="12.75" customHeight="1">
      <c r="A10" s="88" t="s">
        <v>399</v>
      </c>
      <c r="B10" s="88" t="s">
        <v>148</v>
      </c>
      <c r="C10" s="39">
        <f>SUM(C33)</f>
        <v>33444.9</v>
      </c>
      <c r="D10" s="40">
        <f aca="true" t="shared" si="5" ref="D10:X10">SUM(D33)</f>
        <v>33312.7</v>
      </c>
      <c r="E10" s="40">
        <f t="shared" si="5"/>
        <v>34912.6</v>
      </c>
      <c r="F10" s="40">
        <f t="shared" si="5"/>
        <v>38725.3</v>
      </c>
      <c r="G10" s="39">
        <f t="shared" si="5"/>
        <v>39810.700000000004</v>
      </c>
      <c r="H10" s="40">
        <f t="shared" si="5"/>
        <v>40753.4</v>
      </c>
      <c r="I10" s="40">
        <f t="shared" si="5"/>
        <v>45088.3</v>
      </c>
      <c r="J10" s="41">
        <f t="shared" si="5"/>
        <v>39611.299999999996</v>
      </c>
      <c r="K10" s="39">
        <f t="shared" si="5"/>
        <v>39154.1</v>
      </c>
      <c r="L10" s="40">
        <f t="shared" si="5"/>
        <v>39901.399999999994</v>
      </c>
      <c r="M10" s="40">
        <f t="shared" si="5"/>
        <v>40493.2</v>
      </c>
      <c r="N10" s="41">
        <f t="shared" si="5"/>
        <v>42364.3</v>
      </c>
      <c r="O10" s="39">
        <f t="shared" si="5"/>
        <v>41033.7</v>
      </c>
      <c r="P10" s="40">
        <f t="shared" si="5"/>
        <v>40545.5</v>
      </c>
      <c r="Q10" s="40">
        <f t="shared" si="5"/>
        <v>41582.299999999996</v>
      </c>
      <c r="R10" s="41">
        <f t="shared" si="5"/>
        <v>43025.299999999996</v>
      </c>
      <c r="S10" s="39">
        <f t="shared" si="5"/>
        <v>41801.299999999996</v>
      </c>
      <c r="T10" s="40">
        <f t="shared" si="5"/>
        <v>43799.899999999994</v>
      </c>
      <c r="U10" s="40">
        <f t="shared" si="5"/>
        <v>46054.7</v>
      </c>
      <c r="V10" s="41">
        <f t="shared" si="5"/>
        <v>47745.2</v>
      </c>
      <c r="W10" s="39">
        <f t="shared" si="5"/>
        <v>47634.90000000001</v>
      </c>
      <c r="X10" s="40">
        <f t="shared" si="5"/>
        <v>48818.4</v>
      </c>
      <c r="Y10" s="40">
        <f aca="true" t="shared" si="6" ref="Y10:AD10">SUM(Y33)</f>
        <v>50048.899999999994</v>
      </c>
      <c r="Z10" s="41">
        <f t="shared" si="6"/>
        <v>52251.100000000006</v>
      </c>
      <c r="AA10" s="39">
        <f t="shared" si="6"/>
        <v>53749.50000000001</v>
      </c>
      <c r="AB10" s="40">
        <f t="shared" si="6"/>
        <v>57471.799999999996</v>
      </c>
      <c r="AC10" s="40">
        <f t="shared" si="6"/>
        <v>60576.7</v>
      </c>
      <c r="AD10" s="41">
        <f t="shared" si="6"/>
        <v>62231.3</v>
      </c>
      <c r="AE10" s="40">
        <f>SUM(AE33)</f>
        <v>62610.9</v>
      </c>
      <c r="AF10" s="40">
        <f>SUM(AF33)</f>
        <v>65126.4</v>
      </c>
      <c r="AG10" s="40">
        <f>SUM(AG33)</f>
        <v>66832.6</v>
      </c>
    </row>
    <row r="11" spans="1:33" s="9" customFormat="1" ht="20.25">
      <c r="A11" s="88" t="s">
        <v>400</v>
      </c>
      <c r="B11" s="88" t="s">
        <v>149</v>
      </c>
      <c r="C11" s="39">
        <f>SUM(C41)</f>
        <v>1942.1</v>
      </c>
      <c r="D11" s="40">
        <f aca="true" t="shared" si="7" ref="D11:X11">SUM(D41)</f>
        <v>2130.8999999999996</v>
      </c>
      <c r="E11" s="40">
        <f t="shared" si="7"/>
        <v>2232.8</v>
      </c>
      <c r="F11" s="40">
        <f t="shared" si="7"/>
        <v>2579</v>
      </c>
      <c r="G11" s="39">
        <f t="shared" si="7"/>
        <v>2382.2</v>
      </c>
      <c r="H11" s="40">
        <f t="shared" si="7"/>
        <v>2890</v>
      </c>
      <c r="I11" s="40">
        <f t="shared" si="7"/>
        <v>2565.1</v>
      </c>
      <c r="J11" s="41">
        <f t="shared" si="7"/>
        <v>2902.2</v>
      </c>
      <c r="K11" s="39">
        <f t="shared" si="7"/>
        <v>2200</v>
      </c>
      <c r="L11" s="40">
        <f t="shared" si="7"/>
        <v>1674.7</v>
      </c>
      <c r="M11" s="40">
        <f t="shared" si="7"/>
        <v>1684.8</v>
      </c>
      <c r="N11" s="41">
        <f t="shared" si="7"/>
        <v>1509.3</v>
      </c>
      <c r="O11" s="39">
        <f t="shared" si="7"/>
        <v>1526.2</v>
      </c>
      <c r="P11" s="40">
        <f t="shared" si="7"/>
        <v>1383.1</v>
      </c>
      <c r="Q11" s="40">
        <f t="shared" si="7"/>
        <v>2799.7999999999997</v>
      </c>
      <c r="R11" s="41">
        <f t="shared" si="7"/>
        <v>1696.9</v>
      </c>
      <c r="S11" s="39">
        <f t="shared" si="7"/>
        <v>1789.4</v>
      </c>
      <c r="T11" s="40">
        <f t="shared" si="7"/>
        <v>1639.5000000000002</v>
      </c>
      <c r="U11" s="40">
        <f t="shared" si="7"/>
        <v>2225.2999999999997</v>
      </c>
      <c r="V11" s="41">
        <f t="shared" si="7"/>
        <v>2104.7</v>
      </c>
      <c r="W11" s="39">
        <f t="shared" si="7"/>
        <v>1681.9</v>
      </c>
      <c r="X11" s="40">
        <f t="shared" si="7"/>
        <v>1644.6000000000001</v>
      </c>
      <c r="Y11" s="40">
        <f aca="true" t="shared" si="8" ref="Y11:AD11">SUM(Y41)</f>
        <v>1633.8</v>
      </c>
      <c r="Z11" s="41">
        <f t="shared" si="8"/>
        <v>2102.6</v>
      </c>
      <c r="AA11" s="39">
        <f t="shared" si="8"/>
        <v>1936.6</v>
      </c>
      <c r="AB11" s="40">
        <f t="shared" si="8"/>
        <v>1985.8000000000002</v>
      </c>
      <c r="AC11" s="40">
        <f t="shared" si="8"/>
        <v>1946.5000000000002</v>
      </c>
      <c r="AD11" s="41">
        <f t="shared" si="8"/>
        <v>2100.4</v>
      </c>
      <c r="AE11" s="40">
        <f>SUM(AE41)</f>
        <v>2022.7</v>
      </c>
      <c r="AF11" s="40">
        <f>SUM(AF41)</f>
        <v>1921.3</v>
      </c>
      <c r="AG11" s="40">
        <f>SUM(AG41)</f>
        <v>1944.1</v>
      </c>
    </row>
    <row r="12" spans="1:33" ht="12.75">
      <c r="A12" s="117"/>
      <c r="B12" s="117"/>
      <c r="C12" s="39"/>
      <c r="D12" s="40"/>
      <c r="E12" s="40"/>
      <c r="F12" s="40"/>
      <c r="G12" s="39"/>
      <c r="H12" s="40"/>
      <c r="I12" s="40"/>
      <c r="J12" s="41"/>
      <c r="K12" s="39"/>
      <c r="L12" s="40"/>
      <c r="M12" s="40"/>
      <c r="N12" s="41"/>
      <c r="O12" s="39"/>
      <c r="P12" s="40"/>
      <c r="Q12" s="40"/>
      <c r="R12" s="41"/>
      <c r="S12" s="39"/>
      <c r="T12" s="40"/>
      <c r="U12" s="40"/>
      <c r="V12" s="41"/>
      <c r="W12" s="39"/>
      <c r="X12" s="40"/>
      <c r="Y12" s="40"/>
      <c r="Z12" s="41"/>
      <c r="AA12" s="39"/>
      <c r="AB12" s="40"/>
      <c r="AC12" s="40"/>
      <c r="AD12" s="41"/>
      <c r="AE12" s="40"/>
      <c r="AF12" s="40"/>
      <c r="AG12" s="40"/>
    </row>
    <row r="13" spans="1:33" s="213" customFormat="1" ht="24">
      <c r="A13" s="11" t="s">
        <v>342</v>
      </c>
      <c r="B13" s="11" t="s">
        <v>138</v>
      </c>
      <c r="C13" s="202"/>
      <c r="D13" s="203"/>
      <c r="E13" s="203"/>
      <c r="F13" s="203"/>
      <c r="G13" s="202"/>
      <c r="H13" s="203"/>
      <c r="I13" s="203"/>
      <c r="J13" s="204"/>
      <c r="K13" s="202"/>
      <c r="L13" s="203"/>
      <c r="M13" s="203"/>
      <c r="N13" s="204"/>
      <c r="O13" s="202"/>
      <c r="P13" s="203"/>
      <c r="Q13" s="203"/>
      <c r="R13" s="204"/>
      <c r="S13" s="202"/>
      <c r="T13" s="203"/>
      <c r="U13" s="203"/>
      <c r="V13" s="204"/>
      <c r="W13" s="202"/>
      <c r="X13" s="203"/>
      <c r="Y13" s="203"/>
      <c r="Z13" s="204"/>
      <c r="AA13" s="202"/>
      <c r="AB13" s="203"/>
      <c r="AC13" s="203"/>
      <c r="AD13" s="204"/>
      <c r="AE13" s="203"/>
      <c r="AF13" s="203"/>
      <c r="AG13" s="203"/>
    </row>
    <row r="14" spans="1:33" s="9" customFormat="1" ht="6" customHeight="1">
      <c r="A14" s="90"/>
      <c r="B14" s="90"/>
      <c r="C14" s="39"/>
      <c r="D14" s="40"/>
      <c r="E14" s="40"/>
      <c r="F14" s="40"/>
      <c r="G14" s="39"/>
      <c r="H14" s="40"/>
      <c r="I14" s="40"/>
      <c r="J14" s="41"/>
      <c r="K14" s="39"/>
      <c r="L14" s="40"/>
      <c r="M14" s="40"/>
      <c r="N14" s="41"/>
      <c r="O14" s="39"/>
      <c r="P14" s="40"/>
      <c r="Q14" s="40"/>
      <c r="R14" s="41"/>
      <c r="S14" s="39"/>
      <c r="T14" s="40"/>
      <c r="U14" s="40"/>
      <c r="V14" s="41"/>
      <c r="W14" s="39"/>
      <c r="X14" s="40"/>
      <c r="Y14" s="40"/>
      <c r="Z14" s="41"/>
      <c r="AA14" s="39"/>
      <c r="AB14" s="40"/>
      <c r="AC14" s="40"/>
      <c r="AD14" s="41"/>
      <c r="AE14" s="40"/>
      <c r="AF14" s="40"/>
      <c r="AG14" s="40"/>
    </row>
    <row r="15" spans="1:33" s="9" customFormat="1" ht="12.75">
      <c r="A15" s="90" t="s">
        <v>339</v>
      </c>
      <c r="B15" s="90" t="s">
        <v>139</v>
      </c>
      <c r="C15" s="39">
        <f>SUM(C16:C17)</f>
        <v>2886.5</v>
      </c>
      <c r="D15" s="40">
        <f>SUM(D16:D17)</f>
        <v>2746.2000000000003</v>
      </c>
      <c r="E15" s="40">
        <f>SUM(E16:E17)</f>
        <v>2399.7</v>
      </c>
      <c r="F15" s="40">
        <f>SUM(F16:F17)</f>
        <v>2226.7</v>
      </c>
      <c r="G15" s="39">
        <f aca="true" t="shared" si="9" ref="G15:X15">SUM(G16:G17)</f>
        <v>2367.3</v>
      </c>
      <c r="H15" s="40">
        <f t="shared" si="9"/>
        <v>3588.7999999999997</v>
      </c>
      <c r="I15" s="40">
        <f t="shared" si="9"/>
        <v>3231.2</v>
      </c>
      <c r="J15" s="41">
        <f t="shared" si="9"/>
        <v>4267.5</v>
      </c>
      <c r="K15" s="39">
        <f t="shared" si="9"/>
        <v>4741.4</v>
      </c>
      <c r="L15" s="40">
        <f t="shared" si="9"/>
        <v>3815.8</v>
      </c>
      <c r="M15" s="40">
        <f t="shared" si="9"/>
        <v>4171.3</v>
      </c>
      <c r="N15" s="41">
        <f t="shared" si="9"/>
        <v>3306.6</v>
      </c>
      <c r="O15" s="39">
        <f t="shared" si="9"/>
        <v>3033.9</v>
      </c>
      <c r="P15" s="40">
        <f t="shared" si="9"/>
        <v>3736.4</v>
      </c>
      <c r="Q15" s="40">
        <f t="shared" si="9"/>
        <v>3177.2</v>
      </c>
      <c r="R15" s="41">
        <f t="shared" si="9"/>
        <v>2540.6</v>
      </c>
      <c r="S15" s="39">
        <f t="shared" si="9"/>
        <v>2641.2</v>
      </c>
      <c r="T15" s="40">
        <f t="shared" si="9"/>
        <v>2637.8</v>
      </c>
      <c r="U15" s="40">
        <f t="shared" si="9"/>
        <v>2304.7</v>
      </c>
      <c r="V15" s="41">
        <f t="shared" si="9"/>
        <v>2910</v>
      </c>
      <c r="W15" s="39">
        <f t="shared" si="9"/>
        <v>2952.2</v>
      </c>
      <c r="X15" s="40">
        <f t="shared" si="9"/>
        <v>3573.9999999999995</v>
      </c>
      <c r="Y15" s="40">
        <f aca="true" t="shared" si="10" ref="Y15:AD15">SUM(Y16:Y17)</f>
        <v>3048.3</v>
      </c>
      <c r="Z15" s="41">
        <f t="shared" si="10"/>
        <v>3327.2</v>
      </c>
      <c r="AA15" s="39">
        <f t="shared" si="10"/>
        <v>2246</v>
      </c>
      <c r="AB15" s="40">
        <f t="shared" si="10"/>
        <v>2387.4</v>
      </c>
      <c r="AC15" s="40">
        <f t="shared" si="10"/>
        <v>3450.2999999999997</v>
      </c>
      <c r="AD15" s="41">
        <f t="shared" si="10"/>
        <v>2925.7</v>
      </c>
      <c r="AE15" s="40">
        <f>SUM(AE16:AE17)</f>
        <v>2128.1</v>
      </c>
      <c r="AF15" s="40">
        <f>SUM(AF16:AF17)</f>
        <v>2339.1</v>
      </c>
      <c r="AG15" s="40">
        <f>SUM(AG16:AG17)</f>
        <v>2630.8</v>
      </c>
    </row>
    <row r="16" spans="1:33" s="66" customFormat="1" ht="12.75">
      <c r="A16" s="106" t="s">
        <v>343</v>
      </c>
      <c r="B16" s="106" t="s">
        <v>140</v>
      </c>
      <c r="C16" s="57">
        <v>2550.4</v>
      </c>
      <c r="D16" s="58">
        <v>2099.3</v>
      </c>
      <c r="E16" s="58">
        <v>1707.7</v>
      </c>
      <c r="F16" s="58">
        <v>1229.8</v>
      </c>
      <c r="G16" s="57">
        <v>1450</v>
      </c>
      <c r="H16" s="58">
        <v>2111.7</v>
      </c>
      <c r="I16" s="58">
        <v>1790.1</v>
      </c>
      <c r="J16" s="59">
        <v>1268.1</v>
      </c>
      <c r="K16" s="57">
        <v>1438</v>
      </c>
      <c r="L16" s="58">
        <v>1645.4</v>
      </c>
      <c r="M16" s="58">
        <v>1668.5</v>
      </c>
      <c r="N16" s="59">
        <v>1685.8</v>
      </c>
      <c r="O16" s="57">
        <v>1586</v>
      </c>
      <c r="P16" s="58">
        <v>1843.2</v>
      </c>
      <c r="Q16" s="58">
        <v>1615.7</v>
      </c>
      <c r="R16" s="59">
        <v>1442.5</v>
      </c>
      <c r="S16" s="57">
        <v>1418.5</v>
      </c>
      <c r="T16" s="58">
        <v>1715.1</v>
      </c>
      <c r="U16" s="58">
        <v>1396.9</v>
      </c>
      <c r="V16" s="59">
        <v>1250.8</v>
      </c>
      <c r="W16" s="57">
        <v>1709.6000000000001</v>
      </c>
      <c r="X16" s="58">
        <v>2449.8999999999996</v>
      </c>
      <c r="Y16" s="58">
        <v>2527.5</v>
      </c>
      <c r="Z16" s="59">
        <v>2292.6</v>
      </c>
      <c r="AA16" s="57">
        <v>1440.4</v>
      </c>
      <c r="AB16" s="58">
        <v>1467</v>
      </c>
      <c r="AC16" s="58">
        <v>2575.2999999999997</v>
      </c>
      <c r="AD16" s="59">
        <v>1994.1</v>
      </c>
      <c r="AE16" s="58">
        <v>1523.2</v>
      </c>
      <c r="AF16" s="58">
        <v>1896.5</v>
      </c>
      <c r="AG16" s="58">
        <v>1934.6</v>
      </c>
    </row>
    <row r="17" spans="1:33" s="66" customFormat="1" ht="12.75">
      <c r="A17" s="106" t="s">
        <v>446</v>
      </c>
      <c r="B17" s="106" t="s">
        <v>141</v>
      </c>
      <c r="C17" s="57">
        <f>332.4+3.7</f>
        <v>336.09999999999997</v>
      </c>
      <c r="D17" s="58">
        <f>645+1.9</f>
        <v>646.9</v>
      </c>
      <c r="E17" s="58">
        <f>690.4+1.6</f>
        <v>692</v>
      </c>
      <c r="F17" s="58">
        <v>996.9</v>
      </c>
      <c r="G17" s="57">
        <v>917.3</v>
      </c>
      <c r="H17" s="58">
        <v>1477.1</v>
      </c>
      <c r="I17" s="58">
        <v>1441.1</v>
      </c>
      <c r="J17" s="59">
        <v>2999.4</v>
      </c>
      <c r="K17" s="57">
        <v>3303.4</v>
      </c>
      <c r="L17" s="58">
        <v>2170.4</v>
      </c>
      <c r="M17" s="58">
        <v>2502.8</v>
      </c>
      <c r="N17" s="59">
        <v>1620.8</v>
      </c>
      <c r="O17" s="57">
        <v>1447.9</v>
      </c>
      <c r="P17" s="58">
        <v>1893.2</v>
      </c>
      <c r="Q17" s="58">
        <v>1561.5</v>
      </c>
      <c r="R17" s="59">
        <v>1098.1</v>
      </c>
      <c r="S17" s="57">
        <v>1222.7</v>
      </c>
      <c r="T17" s="58">
        <v>922.7</v>
      </c>
      <c r="U17" s="58">
        <v>907.8</v>
      </c>
      <c r="V17" s="59">
        <v>1659.2</v>
      </c>
      <c r="W17" s="57">
        <v>1242.6</v>
      </c>
      <c r="X17" s="58">
        <v>1124.1</v>
      </c>
      <c r="Y17" s="58">
        <v>520.8000000000001</v>
      </c>
      <c r="Z17" s="59">
        <v>1034.6</v>
      </c>
      <c r="AA17" s="57">
        <v>805.6</v>
      </c>
      <c r="AB17" s="58">
        <v>920.4000000000001</v>
      </c>
      <c r="AC17" s="58">
        <v>874.9999999999999</v>
      </c>
      <c r="AD17" s="59">
        <v>931.6</v>
      </c>
      <c r="AE17" s="58">
        <v>604.9</v>
      </c>
      <c r="AF17" s="58">
        <v>442.6</v>
      </c>
      <c r="AG17" s="58">
        <v>696.2</v>
      </c>
    </row>
    <row r="18" spans="1:33" ht="12.75">
      <c r="A18" s="117" t="s">
        <v>340</v>
      </c>
      <c r="B18" s="117" t="s">
        <v>137</v>
      </c>
      <c r="C18" s="39">
        <v>111</v>
      </c>
      <c r="D18" s="40">
        <v>71.9</v>
      </c>
      <c r="E18" s="40">
        <f>50.2</f>
        <v>50.2</v>
      </c>
      <c r="F18" s="40">
        <v>115.5</v>
      </c>
      <c r="G18" s="39">
        <v>84</v>
      </c>
      <c r="H18" s="40">
        <v>153</v>
      </c>
      <c r="I18" s="40">
        <v>85.3</v>
      </c>
      <c r="J18" s="41">
        <v>83.9</v>
      </c>
      <c r="K18" s="39">
        <v>127.7</v>
      </c>
      <c r="L18" s="40">
        <v>141.2</v>
      </c>
      <c r="M18" s="40">
        <v>116.5</v>
      </c>
      <c r="N18" s="41">
        <v>92.9</v>
      </c>
      <c r="O18" s="39">
        <v>100.7</v>
      </c>
      <c r="P18" s="40">
        <v>157.9</v>
      </c>
      <c r="Q18" s="40">
        <v>108.6</v>
      </c>
      <c r="R18" s="41">
        <v>137.3</v>
      </c>
      <c r="S18" s="39">
        <v>107.3</v>
      </c>
      <c r="T18" s="40">
        <v>109.8</v>
      </c>
      <c r="U18" s="40">
        <v>112</v>
      </c>
      <c r="V18" s="41">
        <v>56.1</v>
      </c>
      <c r="W18" s="39">
        <v>126.9</v>
      </c>
      <c r="X18" s="40">
        <v>116.4</v>
      </c>
      <c r="Y18" s="40">
        <v>131.7</v>
      </c>
      <c r="Z18" s="41">
        <v>176.6</v>
      </c>
      <c r="AA18" s="39">
        <v>117.6</v>
      </c>
      <c r="AB18" s="40">
        <v>103.7</v>
      </c>
      <c r="AC18" s="40">
        <v>218.2</v>
      </c>
      <c r="AD18" s="41">
        <v>73</v>
      </c>
      <c r="AE18" s="40">
        <v>140.2</v>
      </c>
      <c r="AF18" s="40">
        <v>198.6</v>
      </c>
      <c r="AG18" s="40">
        <v>79.1</v>
      </c>
    </row>
    <row r="19" spans="1:33" s="13" customFormat="1" ht="12.75">
      <c r="A19" s="99" t="s">
        <v>344</v>
      </c>
      <c r="B19" s="99" t="s">
        <v>142</v>
      </c>
      <c r="C19" s="94">
        <f aca="true" t="shared" si="11" ref="C19:AA19">C15+C18</f>
        <v>2997.5</v>
      </c>
      <c r="D19" s="95">
        <f t="shared" si="11"/>
        <v>2818.1000000000004</v>
      </c>
      <c r="E19" s="95">
        <f t="shared" si="11"/>
        <v>2449.8999999999996</v>
      </c>
      <c r="F19" s="95">
        <f t="shared" si="11"/>
        <v>2342.2</v>
      </c>
      <c r="G19" s="94">
        <f t="shared" si="11"/>
        <v>2451.3</v>
      </c>
      <c r="H19" s="95">
        <f t="shared" si="11"/>
        <v>3741.7999999999997</v>
      </c>
      <c r="I19" s="95">
        <f t="shared" si="11"/>
        <v>3316.5</v>
      </c>
      <c r="J19" s="96">
        <f t="shared" si="11"/>
        <v>4351.4</v>
      </c>
      <c r="K19" s="94">
        <f t="shared" si="11"/>
        <v>4869.099999999999</v>
      </c>
      <c r="L19" s="95">
        <f t="shared" si="11"/>
        <v>3957</v>
      </c>
      <c r="M19" s="95">
        <f t="shared" si="11"/>
        <v>4287.8</v>
      </c>
      <c r="N19" s="96">
        <f t="shared" si="11"/>
        <v>3399.5</v>
      </c>
      <c r="O19" s="94">
        <f t="shared" si="11"/>
        <v>3134.6</v>
      </c>
      <c r="P19" s="95">
        <f t="shared" si="11"/>
        <v>3894.3</v>
      </c>
      <c r="Q19" s="95">
        <f t="shared" si="11"/>
        <v>3285.7999999999997</v>
      </c>
      <c r="R19" s="96">
        <f t="shared" si="11"/>
        <v>2677.9</v>
      </c>
      <c r="S19" s="94">
        <f t="shared" si="11"/>
        <v>2748.5</v>
      </c>
      <c r="T19" s="95">
        <f t="shared" si="11"/>
        <v>2747.6000000000004</v>
      </c>
      <c r="U19" s="95">
        <f t="shared" si="11"/>
        <v>2416.7</v>
      </c>
      <c r="V19" s="96">
        <f t="shared" si="11"/>
        <v>2966.1</v>
      </c>
      <c r="W19" s="94">
        <f t="shared" si="11"/>
        <v>3079.1</v>
      </c>
      <c r="X19" s="95">
        <f t="shared" si="11"/>
        <v>3690.3999999999996</v>
      </c>
      <c r="Y19" s="95">
        <f t="shared" si="11"/>
        <v>3180</v>
      </c>
      <c r="Z19" s="96">
        <f t="shared" si="11"/>
        <v>3503.7999999999997</v>
      </c>
      <c r="AA19" s="94">
        <f t="shared" si="11"/>
        <v>2363.6</v>
      </c>
      <c r="AB19" s="95">
        <f aca="true" t="shared" si="12" ref="AB19:AG19">AB15+AB18</f>
        <v>2491.1</v>
      </c>
      <c r="AC19" s="95">
        <f t="shared" si="12"/>
        <v>3668.4999999999995</v>
      </c>
      <c r="AD19" s="96">
        <f t="shared" si="12"/>
        <v>2998.7</v>
      </c>
      <c r="AE19" s="95">
        <f t="shared" si="12"/>
        <v>2268.2999999999997</v>
      </c>
      <c r="AF19" s="95">
        <f t="shared" si="12"/>
        <v>2537.7</v>
      </c>
      <c r="AG19" s="95">
        <f t="shared" si="12"/>
        <v>2709.9</v>
      </c>
    </row>
    <row r="20" spans="1:33" ht="12.75">
      <c r="A20" s="117"/>
      <c r="B20" s="117"/>
      <c r="C20" s="39"/>
      <c r="D20" s="40"/>
      <c r="E20" s="40"/>
      <c r="F20" s="40"/>
      <c r="G20" s="39"/>
      <c r="H20" s="40"/>
      <c r="I20" s="40"/>
      <c r="J20" s="41"/>
      <c r="K20" s="39"/>
      <c r="L20" s="40"/>
      <c r="M20" s="40"/>
      <c r="N20" s="41"/>
      <c r="O20" s="39"/>
      <c r="P20" s="40"/>
      <c r="Q20" s="40"/>
      <c r="R20" s="41"/>
      <c r="S20" s="39"/>
      <c r="T20" s="40"/>
      <c r="U20" s="40"/>
      <c r="V20" s="41"/>
      <c r="W20" s="39"/>
      <c r="X20" s="40"/>
      <c r="Y20" s="40"/>
      <c r="Z20" s="41"/>
      <c r="AA20" s="39"/>
      <c r="AB20" s="40"/>
      <c r="AC20" s="40"/>
      <c r="AD20" s="41"/>
      <c r="AE20" s="40"/>
      <c r="AF20" s="40"/>
      <c r="AG20" s="40"/>
    </row>
    <row r="21" spans="1:33" s="213" customFormat="1" ht="12">
      <c r="A21" s="11" t="s">
        <v>345</v>
      </c>
      <c r="B21" s="11" t="s">
        <v>143</v>
      </c>
      <c r="C21" s="202"/>
      <c r="D21" s="203"/>
      <c r="E21" s="203"/>
      <c r="F21" s="203"/>
      <c r="G21" s="202"/>
      <c r="H21" s="203"/>
      <c r="I21" s="203"/>
      <c r="J21" s="204"/>
      <c r="K21" s="202"/>
      <c r="L21" s="203"/>
      <c r="M21" s="203"/>
      <c r="N21" s="204"/>
      <c r="O21" s="202"/>
      <c r="P21" s="203"/>
      <c r="Q21" s="203"/>
      <c r="R21" s="204"/>
      <c r="S21" s="202"/>
      <c r="T21" s="203"/>
      <c r="U21" s="203"/>
      <c r="V21" s="204"/>
      <c r="W21" s="202"/>
      <c r="X21" s="203"/>
      <c r="Y21" s="203"/>
      <c r="Z21" s="204"/>
      <c r="AA21" s="202"/>
      <c r="AB21" s="203"/>
      <c r="AC21" s="203"/>
      <c r="AD21" s="204"/>
      <c r="AE21" s="203"/>
      <c r="AF21" s="203"/>
      <c r="AG21" s="203"/>
    </row>
    <row r="22" spans="1:33" s="9" customFormat="1" ht="12.75">
      <c r="A22" s="90"/>
      <c r="B22" s="90"/>
      <c r="C22" s="39"/>
      <c r="D22" s="40"/>
      <c r="E22" s="40"/>
      <c r="F22" s="40"/>
      <c r="G22" s="39"/>
      <c r="H22" s="40"/>
      <c r="I22" s="40"/>
      <c r="J22" s="41"/>
      <c r="K22" s="39"/>
      <c r="L22" s="40"/>
      <c r="M22" s="40"/>
      <c r="N22" s="41"/>
      <c r="O22" s="39"/>
      <c r="P22" s="40"/>
      <c r="Q22" s="40"/>
      <c r="R22" s="41"/>
      <c r="S22" s="39"/>
      <c r="T22" s="40"/>
      <c r="U22" s="40"/>
      <c r="V22" s="41"/>
      <c r="W22" s="39"/>
      <c r="X22" s="40"/>
      <c r="Y22" s="40"/>
      <c r="Z22" s="41"/>
      <c r="AA22" s="39"/>
      <c r="AB22" s="40"/>
      <c r="AC22" s="40"/>
      <c r="AD22" s="41"/>
      <c r="AE22" s="40"/>
      <c r="AF22" s="40"/>
      <c r="AG22" s="40"/>
    </row>
    <row r="23" spans="1:33" s="9" customFormat="1" ht="12.75">
      <c r="A23" s="98" t="s">
        <v>628</v>
      </c>
      <c r="B23" s="98" t="s">
        <v>589</v>
      </c>
      <c r="C23" s="46">
        <f aca="true" t="shared" si="13" ref="C23:AF23">SUM(C27,C24)</f>
        <v>10876.6</v>
      </c>
      <c r="D23" s="47">
        <f t="shared" si="13"/>
        <v>10972.900000000001</v>
      </c>
      <c r="E23" s="47">
        <f t="shared" si="13"/>
        <v>11286.9</v>
      </c>
      <c r="F23" s="47">
        <f t="shared" si="13"/>
        <v>13085.8</v>
      </c>
      <c r="G23" s="46">
        <f t="shared" si="13"/>
        <v>12080.900000000001</v>
      </c>
      <c r="H23" s="47">
        <f t="shared" si="13"/>
        <v>12392.6</v>
      </c>
      <c r="I23" s="47">
        <f t="shared" si="13"/>
        <v>12806.800000000001</v>
      </c>
      <c r="J23" s="48">
        <f t="shared" si="13"/>
        <v>11600</v>
      </c>
      <c r="K23" s="46">
        <f t="shared" si="13"/>
        <v>10613.1</v>
      </c>
      <c r="L23" s="47">
        <f t="shared" si="13"/>
        <v>10476.8</v>
      </c>
      <c r="M23" s="47">
        <f t="shared" si="13"/>
        <v>11467.800000000001</v>
      </c>
      <c r="N23" s="48">
        <f t="shared" si="13"/>
        <v>12260.400000000001</v>
      </c>
      <c r="O23" s="46">
        <f t="shared" si="13"/>
        <v>12097.1</v>
      </c>
      <c r="P23" s="47">
        <f t="shared" si="13"/>
        <v>11531.400000000001</v>
      </c>
      <c r="Q23" s="47">
        <f t="shared" si="13"/>
        <v>11952.799999999997</v>
      </c>
      <c r="R23" s="48">
        <f t="shared" si="13"/>
        <v>12858.099999999999</v>
      </c>
      <c r="S23" s="46">
        <f t="shared" si="13"/>
        <v>11553.1</v>
      </c>
      <c r="T23" s="47">
        <f t="shared" si="13"/>
        <v>12538.5</v>
      </c>
      <c r="U23" s="47">
        <f t="shared" si="13"/>
        <v>13579.2</v>
      </c>
      <c r="V23" s="48">
        <f t="shared" si="13"/>
        <v>14263.400000000001</v>
      </c>
      <c r="W23" s="46">
        <f t="shared" si="13"/>
        <v>13893.2</v>
      </c>
      <c r="X23" s="47">
        <f t="shared" si="13"/>
        <v>13569.4</v>
      </c>
      <c r="Y23" s="47">
        <f t="shared" si="13"/>
        <v>13912</v>
      </c>
      <c r="Z23" s="48">
        <f t="shared" si="13"/>
        <v>14567.4</v>
      </c>
      <c r="AA23" s="46">
        <f t="shared" si="13"/>
        <v>14314.4</v>
      </c>
      <c r="AB23" s="47">
        <f t="shared" si="13"/>
        <v>16619</v>
      </c>
      <c r="AC23" s="47">
        <f t="shared" si="13"/>
        <v>17472.3</v>
      </c>
      <c r="AD23" s="48">
        <f t="shared" si="13"/>
        <v>18602.399999999998</v>
      </c>
      <c r="AE23" s="47">
        <f t="shared" si="13"/>
        <v>17512.6</v>
      </c>
      <c r="AF23" s="47">
        <f t="shared" si="13"/>
        <v>19136.700000000004</v>
      </c>
      <c r="AG23" s="47">
        <f>SUM(AG27,AG24)</f>
        <v>19702.2</v>
      </c>
    </row>
    <row r="24" spans="1:33" s="9" customFormat="1" ht="12.75">
      <c r="A24" s="90" t="s">
        <v>646</v>
      </c>
      <c r="B24" s="90" t="s">
        <v>590</v>
      </c>
      <c r="C24" s="39">
        <f aca="true" t="shared" si="14" ref="C24:AF24">SUM(C25:C26)</f>
        <v>10570.4</v>
      </c>
      <c r="D24" s="40">
        <f t="shared" si="14"/>
        <v>10703.7</v>
      </c>
      <c r="E24" s="40">
        <f t="shared" si="14"/>
        <v>10969.1</v>
      </c>
      <c r="F24" s="40">
        <f t="shared" si="14"/>
        <v>12760.8</v>
      </c>
      <c r="G24" s="39">
        <f t="shared" si="14"/>
        <v>11704.400000000001</v>
      </c>
      <c r="H24" s="40">
        <f t="shared" si="14"/>
        <v>12007.7</v>
      </c>
      <c r="I24" s="40">
        <f t="shared" si="14"/>
        <v>12316.2</v>
      </c>
      <c r="J24" s="41">
        <f t="shared" si="14"/>
        <v>11173.5</v>
      </c>
      <c r="K24" s="39">
        <f t="shared" si="14"/>
        <v>10094</v>
      </c>
      <c r="L24" s="40">
        <f t="shared" si="14"/>
        <v>9973</v>
      </c>
      <c r="M24" s="40">
        <f t="shared" si="14"/>
        <v>10922.900000000001</v>
      </c>
      <c r="N24" s="41">
        <f t="shared" si="14"/>
        <v>11861.7</v>
      </c>
      <c r="O24" s="39">
        <f t="shared" si="14"/>
        <v>11717.6</v>
      </c>
      <c r="P24" s="40">
        <f t="shared" si="14"/>
        <v>11136.7</v>
      </c>
      <c r="Q24" s="40">
        <f t="shared" si="14"/>
        <v>11554.999999999998</v>
      </c>
      <c r="R24" s="41">
        <f t="shared" si="14"/>
        <v>12483.599999999999</v>
      </c>
      <c r="S24" s="39">
        <f t="shared" si="14"/>
        <v>11140</v>
      </c>
      <c r="T24" s="40">
        <f t="shared" si="14"/>
        <v>12110.7</v>
      </c>
      <c r="U24" s="40">
        <f t="shared" si="14"/>
        <v>13100.1</v>
      </c>
      <c r="V24" s="41">
        <f t="shared" si="14"/>
        <v>13887.300000000001</v>
      </c>
      <c r="W24" s="39">
        <f t="shared" si="14"/>
        <v>13203.2</v>
      </c>
      <c r="X24" s="40">
        <f t="shared" si="14"/>
        <v>12810.1</v>
      </c>
      <c r="Y24" s="40">
        <f t="shared" si="14"/>
        <v>13132.6</v>
      </c>
      <c r="Z24" s="41">
        <f t="shared" si="14"/>
        <v>13739.9</v>
      </c>
      <c r="AA24" s="39">
        <f t="shared" si="14"/>
        <v>13459.1</v>
      </c>
      <c r="AB24" s="40">
        <f t="shared" si="14"/>
        <v>15738.599999999999</v>
      </c>
      <c r="AC24" s="40">
        <f t="shared" si="14"/>
        <v>16618.3</v>
      </c>
      <c r="AD24" s="41">
        <f t="shared" si="14"/>
        <v>17746.3</v>
      </c>
      <c r="AE24" s="40">
        <f t="shared" si="14"/>
        <v>16705.3</v>
      </c>
      <c r="AF24" s="40">
        <f t="shared" si="14"/>
        <v>18207.300000000003</v>
      </c>
      <c r="AG24" s="40">
        <f>SUM(AG25:AG26)</f>
        <v>18690.5</v>
      </c>
    </row>
    <row r="25" spans="1:33" s="66" customFormat="1" ht="12.75">
      <c r="A25" s="106" t="s">
        <v>647</v>
      </c>
      <c r="B25" s="106" t="s">
        <v>140</v>
      </c>
      <c r="C25" s="57">
        <v>5611.5</v>
      </c>
      <c r="D25" s="58">
        <v>6202.7</v>
      </c>
      <c r="E25" s="58">
        <v>6353.8</v>
      </c>
      <c r="F25" s="58">
        <v>7970.4</v>
      </c>
      <c r="G25" s="57">
        <v>6808.1</v>
      </c>
      <c r="H25" s="58">
        <v>7124.1</v>
      </c>
      <c r="I25" s="58">
        <v>7482.4</v>
      </c>
      <c r="J25" s="59">
        <v>7292.1</v>
      </c>
      <c r="K25" s="57">
        <v>5979.3</v>
      </c>
      <c r="L25" s="58">
        <v>5985</v>
      </c>
      <c r="M25" s="58">
        <v>6214.700000000001</v>
      </c>
      <c r="N25" s="59">
        <v>6418.5</v>
      </c>
      <c r="O25" s="57">
        <v>7328.5</v>
      </c>
      <c r="P25" s="58">
        <v>6996.5</v>
      </c>
      <c r="Q25" s="58">
        <v>7044.199999999999</v>
      </c>
      <c r="R25" s="59">
        <v>7688.7</v>
      </c>
      <c r="S25" s="57">
        <v>6864.8</v>
      </c>
      <c r="T25" s="58">
        <v>7566.4</v>
      </c>
      <c r="U25" s="58">
        <v>8153</v>
      </c>
      <c r="V25" s="59">
        <v>8842.900000000001</v>
      </c>
      <c r="W25" s="57">
        <v>7619.2</v>
      </c>
      <c r="X25" s="58">
        <v>7487.200000000001</v>
      </c>
      <c r="Y25" s="58">
        <v>7733.6</v>
      </c>
      <c r="Z25" s="59">
        <v>8410.4</v>
      </c>
      <c r="AA25" s="57">
        <v>7605.6</v>
      </c>
      <c r="AB25" s="58">
        <v>8979.3</v>
      </c>
      <c r="AC25" s="58">
        <v>10185.599999999999</v>
      </c>
      <c r="AD25" s="59">
        <v>10756.099999999999</v>
      </c>
      <c r="AE25" s="58">
        <v>9393.4</v>
      </c>
      <c r="AF25" s="58">
        <v>10590.6</v>
      </c>
      <c r="AG25" s="58">
        <v>10853.1</v>
      </c>
    </row>
    <row r="26" spans="1:33" s="66" customFormat="1" ht="12.75">
      <c r="A26" s="106" t="s">
        <v>707</v>
      </c>
      <c r="B26" s="106" t="s">
        <v>706</v>
      </c>
      <c r="C26" s="57">
        <v>4958.9</v>
      </c>
      <c r="D26" s="58">
        <v>4501</v>
      </c>
      <c r="E26" s="58">
        <v>4615.3</v>
      </c>
      <c r="F26" s="58">
        <v>4790.4</v>
      </c>
      <c r="G26" s="57">
        <v>4896.3</v>
      </c>
      <c r="H26" s="58">
        <v>4883.6</v>
      </c>
      <c r="I26" s="58">
        <v>4833.8</v>
      </c>
      <c r="J26" s="59">
        <v>3881.4</v>
      </c>
      <c r="K26" s="57">
        <v>4114.7</v>
      </c>
      <c r="L26" s="58">
        <v>3988</v>
      </c>
      <c r="M26" s="58">
        <v>4708.200000000001</v>
      </c>
      <c r="N26" s="59">
        <v>5443.2</v>
      </c>
      <c r="O26" s="57">
        <v>4389.1</v>
      </c>
      <c r="P26" s="58">
        <v>4140.2</v>
      </c>
      <c r="Q26" s="58">
        <v>4510.799999999999</v>
      </c>
      <c r="R26" s="59">
        <v>4794.9</v>
      </c>
      <c r="S26" s="57">
        <v>4275.2</v>
      </c>
      <c r="T26" s="58">
        <v>4544.3</v>
      </c>
      <c r="U26" s="58">
        <v>4947.1</v>
      </c>
      <c r="V26" s="59">
        <v>5044.4</v>
      </c>
      <c r="W26" s="57">
        <v>5584</v>
      </c>
      <c r="X26" s="58">
        <v>5322.9</v>
      </c>
      <c r="Y26" s="58">
        <v>5399</v>
      </c>
      <c r="Z26" s="59">
        <v>5329.5</v>
      </c>
      <c r="AA26" s="57">
        <v>5853.5</v>
      </c>
      <c r="AB26" s="58">
        <v>6759.3</v>
      </c>
      <c r="AC26" s="58">
        <v>6432.7</v>
      </c>
      <c r="AD26" s="59">
        <v>6990.200000000001</v>
      </c>
      <c r="AE26" s="58">
        <v>7311.9</v>
      </c>
      <c r="AF26" s="58">
        <v>7616.700000000001</v>
      </c>
      <c r="AG26" s="58">
        <f>5482+2355.4</f>
        <v>7837.4</v>
      </c>
    </row>
    <row r="27" spans="1:33" s="9" customFormat="1" ht="12.75">
      <c r="A27" s="90" t="s">
        <v>237</v>
      </c>
      <c r="B27" s="90" t="s">
        <v>591</v>
      </c>
      <c r="C27" s="39">
        <v>306.20000000000005</v>
      </c>
      <c r="D27" s="40">
        <v>269.19999999999993</v>
      </c>
      <c r="E27" s="40">
        <v>317.79999999999984</v>
      </c>
      <c r="F27" s="40">
        <v>325</v>
      </c>
      <c r="G27" s="39">
        <v>376.5</v>
      </c>
      <c r="H27" s="40">
        <v>384.9</v>
      </c>
      <c r="I27" s="40">
        <v>490.6</v>
      </c>
      <c r="J27" s="41">
        <v>426.5</v>
      </c>
      <c r="K27" s="39">
        <v>519.0999999999999</v>
      </c>
      <c r="L27" s="40">
        <v>503.79999999999995</v>
      </c>
      <c r="M27" s="40">
        <v>544.9</v>
      </c>
      <c r="N27" s="41">
        <v>398.7</v>
      </c>
      <c r="O27" s="39">
        <v>379.5</v>
      </c>
      <c r="P27" s="40">
        <v>394.7</v>
      </c>
      <c r="Q27" s="40">
        <v>397.8</v>
      </c>
      <c r="R27" s="41">
        <v>374.5</v>
      </c>
      <c r="S27" s="39">
        <v>413.1</v>
      </c>
      <c r="T27" s="40">
        <v>427.8</v>
      </c>
      <c r="U27" s="40">
        <v>479.09999999999997</v>
      </c>
      <c r="V27" s="41">
        <v>376.1</v>
      </c>
      <c r="W27" s="39">
        <v>690</v>
      </c>
      <c r="X27" s="40">
        <v>759.3000000000001</v>
      </c>
      <c r="Y27" s="40">
        <v>779.4000000000001</v>
      </c>
      <c r="Z27" s="41">
        <v>827.5</v>
      </c>
      <c r="AA27" s="39">
        <v>855.3000000000001</v>
      </c>
      <c r="AB27" s="40">
        <v>880.4</v>
      </c>
      <c r="AC27" s="40">
        <v>854.0000000000001</v>
      </c>
      <c r="AD27" s="41">
        <v>856.1</v>
      </c>
      <c r="AE27" s="40">
        <v>807.3000000000001</v>
      </c>
      <c r="AF27" s="40">
        <v>929.4000000000001</v>
      </c>
      <c r="AG27" s="40">
        <v>1011.7</v>
      </c>
    </row>
    <row r="28" spans="1:33" s="9" customFormat="1" ht="12.75">
      <c r="A28" s="98" t="s">
        <v>632</v>
      </c>
      <c r="B28" s="98" t="s">
        <v>592</v>
      </c>
      <c r="C28" s="46">
        <f aca="true" t="shared" si="15" ref="C28:AF28">SUM(C32,C29)</f>
        <v>22568.300000000003</v>
      </c>
      <c r="D28" s="47">
        <f t="shared" si="15"/>
        <v>22339.8</v>
      </c>
      <c r="E28" s="47">
        <f t="shared" si="15"/>
        <v>23625.7</v>
      </c>
      <c r="F28" s="47">
        <f t="shared" si="15"/>
        <v>25639.5</v>
      </c>
      <c r="G28" s="46">
        <f t="shared" si="15"/>
        <v>27729.800000000003</v>
      </c>
      <c r="H28" s="47">
        <f t="shared" si="15"/>
        <v>28360.8</v>
      </c>
      <c r="I28" s="47">
        <f t="shared" si="15"/>
        <v>32281.5</v>
      </c>
      <c r="J28" s="48">
        <f t="shared" si="15"/>
        <v>28011.299999999996</v>
      </c>
      <c r="K28" s="46">
        <f t="shared" si="15"/>
        <v>28541</v>
      </c>
      <c r="L28" s="47">
        <f t="shared" si="15"/>
        <v>29424.6</v>
      </c>
      <c r="M28" s="47">
        <f t="shared" si="15"/>
        <v>29025.399999999998</v>
      </c>
      <c r="N28" s="48">
        <f t="shared" si="15"/>
        <v>30103.9</v>
      </c>
      <c r="O28" s="46">
        <f t="shared" si="15"/>
        <v>28936.6</v>
      </c>
      <c r="P28" s="47">
        <f t="shared" si="15"/>
        <v>29014.100000000002</v>
      </c>
      <c r="Q28" s="47">
        <f t="shared" si="15"/>
        <v>29629.5</v>
      </c>
      <c r="R28" s="48">
        <f t="shared" si="15"/>
        <v>30167.199999999997</v>
      </c>
      <c r="S28" s="46">
        <f t="shared" si="15"/>
        <v>30248.199999999997</v>
      </c>
      <c r="T28" s="47">
        <f t="shared" si="15"/>
        <v>31261.399999999998</v>
      </c>
      <c r="U28" s="47">
        <f t="shared" si="15"/>
        <v>32475.5</v>
      </c>
      <c r="V28" s="48">
        <f t="shared" si="15"/>
        <v>33481.799999999996</v>
      </c>
      <c r="W28" s="46">
        <f t="shared" si="15"/>
        <v>33741.700000000004</v>
      </c>
      <c r="X28" s="47">
        <f t="shared" si="15"/>
        <v>35249</v>
      </c>
      <c r="Y28" s="47">
        <f t="shared" si="15"/>
        <v>36136.899999999994</v>
      </c>
      <c r="Z28" s="48">
        <f t="shared" si="15"/>
        <v>37683.700000000004</v>
      </c>
      <c r="AA28" s="46">
        <f t="shared" si="15"/>
        <v>39435.100000000006</v>
      </c>
      <c r="AB28" s="47">
        <f t="shared" si="15"/>
        <v>40852.799999999996</v>
      </c>
      <c r="AC28" s="47">
        <f t="shared" si="15"/>
        <v>43104.399999999994</v>
      </c>
      <c r="AD28" s="48">
        <f t="shared" si="15"/>
        <v>43628.9</v>
      </c>
      <c r="AE28" s="47">
        <f t="shared" si="15"/>
        <v>45098.3</v>
      </c>
      <c r="AF28" s="47">
        <f t="shared" si="15"/>
        <v>45989.7</v>
      </c>
      <c r="AG28" s="47">
        <f>SUM(AG32,AG29)</f>
        <v>47130.4</v>
      </c>
    </row>
    <row r="29" spans="1:33" s="9" customFormat="1" ht="12.75">
      <c r="A29" s="90" t="s">
        <v>646</v>
      </c>
      <c r="B29" s="90" t="s">
        <v>139</v>
      </c>
      <c r="C29" s="39">
        <f aca="true" t="shared" si="16" ref="C29:AF29">SUM(C30:C31)</f>
        <v>22505.9</v>
      </c>
      <c r="D29" s="40">
        <f t="shared" si="16"/>
        <v>22032.899999999998</v>
      </c>
      <c r="E29" s="40">
        <f t="shared" si="16"/>
        <v>23343.2</v>
      </c>
      <c r="F29" s="40">
        <f t="shared" si="16"/>
        <v>25392.6</v>
      </c>
      <c r="G29" s="39">
        <f t="shared" si="16"/>
        <v>27654.9</v>
      </c>
      <c r="H29" s="40">
        <f t="shared" si="16"/>
        <v>28277.399999999998</v>
      </c>
      <c r="I29" s="40">
        <f t="shared" si="16"/>
        <v>32225</v>
      </c>
      <c r="J29" s="41">
        <f t="shared" si="16"/>
        <v>27945.699999999997</v>
      </c>
      <c r="K29" s="39">
        <f t="shared" si="16"/>
        <v>28475.8</v>
      </c>
      <c r="L29" s="40">
        <f t="shared" si="16"/>
        <v>29363.1</v>
      </c>
      <c r="M29" s="40">
        <f t="shared" si="16"/>
        <v>28963.399999999998</v>
      </c>
      <c r="N29" s="41">
        <f t="shared" si="16"/>
        <v>30039.7</v>
      </c>
      <c r="O29" s="39">
        <f t="shared" si="16"/>
        <v>28875.8</v>
      </c>
      <c r="P29" s="40">
        <f t="shared" si="16"/>
        <v>28969.9</v>
      </c>
      <c r="Q29" s="40">
        <f t="shared" si="16"/>
        <v>29558</v>
      </c>
      <c r="R29" s="41">
        <f t="shared" si="16"/>
        <v>30117.699999999997</v>
      </c>
      <c r="S29" s="39">
        <f t="shared" si="16"/>
        <v>30146.6</v>
      </c>
      <c r="T29" s="40">
        <f t="shared" si="16"/>
        <v>31154.8</v>
      </c>
      <c r="U29" s="40">
        <f t="shared" si="16"/>
        <v>32412.1</v>
      </c>
      <c r="V29" s="41">
        <f t="shared" si="16"/>
        <v>33434.7</v>
      </c>
      <c r="W29" s="39">
        <f t="shared" si="16"/>
        <v>33696.9</v>
      </c>
      <c r="X29" s="40">
        <f t="shared" si="16"/>
        <v>35197.3</v>
      </c>
      <c r="Y29" s="40">
        <f t="shared" si="16"/>
        <v>36082.7</v>
      </c>
      <c r="Z29" s="41">
        <f t="shared" si="16"/>
        <v>37627.700000000004</v>
      </c>
      <c r="AA29" s="39">
        <f t="shared" si="16"/>
        <v>39370.3</v>
      </c>
      <c r="AB29" s="40">
        <f t="shared" si="16"/>
        <v>40795.799999999996</v>
      </c>
      <c r="AC29" s="40">
        <f t="shared" si="16"/>
        <v>43042.2</v>
      </c>
      <c r="AD29" s="41">
        <f t="shared" si="16"/>
        <v>43563.8</v>
      </c>
      <c r="AE29" s="40">
        <f t="shared" si="16"/>
        <v>45038.3</v>
      </c>
      <c r="AF29" s="40">
        <f t="shared" si="16"/>
        <v>45910.299999999996</v>
      </c>
      <c r="AG29" s="40">
        <f>SUM(AG30:AG31)</f>
        <v>47067.8</v>
      </c>
    </row>
    <row r="30" spans="1:33" s="118" customFormat="1" ht="12.75">
      <c r="A30" s="143" t="s">
        <v>647</v>
      </c>
      <c r="B30" s="143" t="s">
        <v>140</v>
      </c>
      <c r="C30" s="57">
        <v>3030</v>
      </c>
      <c r="D30" s="58">
        <v>2999.1</v>
      </c>
      <c r="E30" s="58">
        <v>2254.1</v>
      </c>
      <c r="F30" s="58">
        <v>2603.8</v>
      </c>
      <c r="G30" s="57">
        <v>3482.7</v>
      </c>
      <c r="H30" s="58">
        <v>3582.6</v>
      </c>
      <c r="I30" s="58">
        <v>2313.1</v>
      </c>
      <c r="J30" s="59">
        <v>3796.1</v>
      </c>
      <c r="K30" s="57">
        <v>3711.3</v>
      </c>
      <c r="L30" s="58">
        <v>3858.3</v>
      </c>
      <c r="M30" s="58">
        <v>3847.6</v>
      </c>
      <c r="N30" s="59">
        <v>4122.2</v>
      </c>
      <c r="O30" s="57">
        <v>3957.1</v>
      </c>
      <c r="P30" s="58">
        <v>4239.1</v>
      </c>
      <c r="Q30" s="58">
        <v>4257.5</v>
      </c>
      <c r="R30" s="59">
        <v>4792.4</v>
      </c>
      <c r="S30" s="57">
        <v>4926.9</v>
      </c>
      <c r="T30" s="58">
        <v>4957.8</v>
      </c>
      <c r="U30" s="58">
        <v>4880.8</v>
      </c>
      <c r="V30" s="59">
        <v>5065.5</v>
      </c>
      <c r="W30" s="57">
        <v>4983.6</v>
      </c>
      <c r="X30" s="58">
        <v>5215.4</v>
      </c>
      <c r="Y30" s="58">
        <v>5909.599999999999</v>
      </c>
      <c r="Z30" s="59">
        <v>7520.3</v>
      </c>
      <c r="AA30" s="57">
        <v>5464.8</v>
      </c>
      <c r="AB30" s="58">
        <v>5815.2</v>
      </c>
      <c r="AC30" s="58">
        <v>5897.2</v>
      </c>
      <c r="AD30" s="59">
        <v>6456.3</v>
      </c>
      <c r="AE30" s="58">
        <v>6379.1</v>
      </c>
      <c r="AF30" s="58">
        <v>7459.2</v>
      </c>
      <c r="AG30" s="58">
        <v>6924.599999999999</v>
      </c>
    </row>
    <row r="31" spans="1:33" s="118" customFormat="1" ht="12.75">
      <c r="A31" s="106" t="s">
        <v>707</v>
      </c>
      <c r="B31" s="106" t="s">
        <v>706</v>
      </c>
      <c r="C31" s="269">
        <v>19475.9</v>
      </c>
      <c r="D31" s="269">
        <v>19033.8</v>
      </c>
      <c r="E31" s="269">
        <v>21089.100000000002</v>
      </c>
      <c r="F31" s="269">
        <v>22788.8</v>
      </c>
      <c r="G31" s="269">
        <v>24172.2</v>
      </c>
      <c r="H31" s="269">
        <v>24694.8</v>
      </c>
      <c r="I31" s="269">
        <v>29911.9</v>
      </c>
      <c r="J31" s="269">
        <v>24149.6</v>
      </c>
      <c r="K31" s="269">
        <v>24764.5</v>
      </c>
      <c r="L31" s="269">
        <v>25504.8</v>
      </c>
      <c r="M31" s="269">
        <v>25115.8</v>
      </c>
      <c r="N31" s="269">
        <v>25917.5</v>
      </c>
      <c r="O31" s="269">
        <v>24918.7</v>
      </c>
      <c r="P31" s="269">
        <v>24730.8</v>
      </c>
      <c r="Q31" s="269">
        <v>25300.5</v>
      </c>
      <c r="R31" s="269">
        <v>25325.3</v>
      </c>
      <c r="S31" s="269">
        <v>25219.7</v>
      </c>
      <c r="T31" s="269">
        <v>26197</v>
      </c>
      <c r="U31" s="269">
        <v>27531.3</v>
      </c>
      <c r="V31" s="269">
        <v>28369.199999999997</v>
      </c>
      <c r="W31" s="269">
        <v>28713.3</v>
      </c>
      <c r="X31" s="269">
        <v>29981.9</v>
      </c>
      <c r="Y31" s="269">
        <v>30173.1</v>
      </c>
      <c r="Z31" s="269">
        <v>30107.4</v>
      </c>
      <c r="AA31" s="269">
        <v>33905.5</v>
      </c>
      <c r="AB31" s="269">
        <v>34980.6</v>
      </c>
      <c r="AC31" s="269">
        <v>37145</v>
      </c>
      <c r="AD31" s="269">
        <v>37107.5</v>
      </c>
      <c r="AE31" s="269">
        <v>38659.200000000004</v>
      </c>
      <c r="AF31" s="269">
        <v>38451.1</v>
      </c>
      <c r="AG31" s="269">
        <v>40143.200000000004</v>
      </c>
    </row>
    <row r="32" spans="1:33" ht="12.75">
      <c r="A32" s="90" t="s">
        <v>237</v>
      </c>
      <c r="B32" s="90" t="s">
        <v>591</v>
      </c>
      <c r="C32" s="39">
        <v>62.4</v>
      </c>
      <c r="D32" s="40">
        <v>306.9</v>
      </c>
      <c r="E32" s="40">
        <v>282.5</v>
      </c>
      <c r="F32" s="40">
        <v>246.9</v>
      </c>
      <c r="G32" s="39">
        <v>74.9</v>
      </c>
      <c r="H32" s="40">
        <v>83.4</v>
      </c>
      <c r="I32" s="40">
        <v>56.5</v>
      </c>
      <c r="J32" s="41">
        <v>65.60000000000001</v>
      </c>
      <c r="K32" s="39">
        <v>65.2</v>
      </c>
      <c r="L32" s="40">
        <v>61.5</v>
      </c>
      <c r="M32" s="40">
        <v>62</v>
      </c>
      <c r="N32" s="41">
        <v>64.2</v>
      </c>
      <c r="O32" s="39">
        <v>60.8</v>
      </c>
      <c r="P32" s="40">
        <v>44.2</v>
      </c>
      <c r="Q32" s="40">
        <v>71.5</v>
      </c>
      <c r="R32" s="41">
        <v>49.5</v>
      </c>
      <c r="S32" s="39">
        <v>101.6</v>
      </c>
      <c r="T32" s="40">
        <v>106.6</v>
      </c>
      <c r="U32" s="40">
        <v>63.400000000000006</v>
      </c>
      <c r="V32" s="41">
        <v>47.1</v>
      </c>
      <c r="W32" s="39">
        <v>44.8</v>
      </c>
      <c r="X32" s="40">
        <v>51.699999999999996</v>
      </c>
      <c r="Y32" s="40">
        <v>54.199999999999996</v>
      </c>
      <c r="Z32" s="41">
        <v>56</v>
      </c>
      <c r="AA32" s="39">
        <v>64.8</v>
      </c>
      <c r="AB32" s="40">
        <v>57</v>
      </c>
      <c r="AC32" s="40">
        <v>62.199999999999996</v>
      </c>
      <c r="AD32" s="41">
        <v>65.1</v>
      </c>
      <c r="AE32" s="40">
        <v>60</v>
      </c>
      <c r="AF32" s="40">
        <v>79.4</v>
      </c>
      <c r="AG32" s="40">
        <v>62.6</v>
      </c>
    </row>
    <row r="33" spans="1:33" s="13" customFormat="1" ht="12.75">
      <c r="A33" s="99" t="s">
        <v>344</v>
      </c>
      <c r="B33" s="99" t="s">
        <v>83</v>
      </c>
      <c r="C33" s="94">
        <f aca="true" t="shared" si="17" ref="C33:AE33">C23+C28</f>
        <v>33444.9</v>
      </c>
      <c r="D33" s="95">
        <f t="shared" si="17"/>
        <v>33312.7</v>
      </c>
      <c r="E33" s="95">
        <f t="shared" si="17"/>
        <v>34912.6</v>
      </c>
      <c r="F33" s="95">
        <f t="shared" si="17"/>
        <v>38725.3</v>
      </c>
      <c r="G33" s="94">
        <f t="shared" si="17"/>
        <v>39810.700000000004</v>
      </c>
      <c r="H33" s="95">
        <f t="shared" si="17"/>
        <v>40753.4</v>
      </c>
      <c r="I33" s="95">
        <f t="shared" si="17"/>
        <v>45088.3</v>
      </c>
      <c r="J33" s="96">
        <f t="shared" si="17"/>
        <v>39611.299999999996</v>
      </c>
      <c r="K33" s="94">
        <f t="shared" si="17"/>
        <v>39154.1</v>
      </c>
      <c r="L33" s="95">
        <f t="shared" si="17"/>
        <v>39901.399999999994</v>
      </c>
      <c r="M33" s="95">
        <f t="shared" si="17"/>
        <v>40493.2</v>
      </c>
      <c r="N33" s="96">
        <f t="shared" si="17"/>
        <v>42364.3</v>
      </c>
      <c r="O33" s="94">
        <f t="shared" si="17"/>
        <v>41033.7</v>
      </c>
      <c r="P33" s="95">
        <f t="shared" si="17"/>
        <v>40545.5</v>
      </c>
      <c r="Q33" s="95">
        <f t="shared" si="17"/>
        <v>41582.299999999996</v>
      </c>
      <c r="R33" s="96">
        <f t="shared" si="17"/>
        <v>43025.299999999996</v>
      </c>
      <c r="S33" s="94">
        <f t="shared" si="17"/>
        <v>41801.299999999996</v>
      </c>
      <c r="T33" s="95">
        <f t="shared" si="17"/>
        <v>43799.899999999994</v>
      </c>
      <c r="U33" s="95">
        <f t="shared" si="17"/>
        <v>46054.7</v>
      </c>
      <c r="V33" s="96">
        <f t="shared" si="17"/>
        <v>47745.2</v>
      </c>
      <c r="W33" s="94">
        <f t="shared" si="17"/>
        <v>47634.90000000001</v>
      </c>
      <c r="X33" s="95">
        <f t="shared" si="17"/>
        <v>48818.4</v>
      </c>
      <c r="Y33" s="95">
        <f t="shared" si="17"/>
        <v>50048.899999999994</v>
      </c>
      <c r="Z33" s="96">
        <f t="shared" si="17"/>
        <v>52251.100000000006</v>
      </c>
      <c r="AA33" s="94">
        <f t="shared" si="17"/>
        <v>53749.50000000001</v>
      </c>
      <c r="AB33" s="95">
        <f t="shared" si="17"/>
        <v>57471.799999999996</v>
      </c>
      <c r="AC33" s="95">
        <f t="shared" si="17"/>
        <v>60576.7</v>
      </c>
      <c r="AD33" s="96">
        <f t="shared" si="17"/>
        <v>62231.3</v>
      </c>
      <c r="AE33" s="95">
        <f t="shared" si="17"/>
        <v>62610.9</v>
      </c>
      <c r="AF33" s="95">
        <f>SUM(AF23,AF28)</f>
        <v>65126.4</v>
      </c>
      <c r="AG33" s="95">
        <f>SUM(AG23,AG28)</f>
        <v>66832.6</v>
      </c>
    </row>
    <row r="34" spans="1:33" s="9" customFormat="1" ht="12.75">
      <c r="A34" s="90"/>
      <c r="B34" s="90"/>
      <c r="C34" s="39"/>
      <c r="D34" s="40"/>
      <c r="E34" s="40"/>
      <c r="F34" s="40"/>
      <c r="G34" s="39"/>
      <c r="H34" s="40"/>
      <c r="I34" s="40"/>
      <c r="J34" s="41"/>
      <c r="K34" s="39"/>
      <c r="L34" s="40"/>
      <c r="M34" s="40"/>
      <c r="N34" s="41"/>
      <c r="O34" s="39"/>
      <c r="P34" s="40"/>
      <c r="Q34" s="40"/>
      <c r="R34" s="41"/>
      <c r="S34" s="39"/>
      <c r="T34" s="40"/>
      <c r="U34" s="40"/>
      <c r="V34" s="41"/>
      <c r="W34" s="39"/>
      <c r="X34" s="40"/>
      <c r="Y34" s="40"/>
      <c r="Z34" s="41"/>
      <c r="AA34" s="39"/>
      <c r="AB34" s="40"/>
      <c r="AC34" s="40"/>
      <c r="AD34" s="41"/>
      <c r="AE34" s="40"/>
      <c r="AF34" s="40"/>
      <c r="AG34" s="40"/>
    </row>
    <row r="35" spans="1:33" s="213" customFormat="1" ht="24">
      <c r="A35" s="11" t="s">
        <v>346</v>
      </c>
      <c r="B35" s="11" t="s">
        <v>144</v>
      </c>
      <c r="C35" s="202"/>
      <c r="D35" s="203"/>
      <c r="E35" s="203"/>
      <c r="F35" s="203"/>
      <c r="G35" s="202"/>
      <c r="H35" s="203"/>
      <c r="I35" s="203"/>
      <c r="J35" s="204"/>
      <c r="K35" s="202"/>
      <c r="L35" s="203"/>
      <c r="M35" s="203"/>
      <c r="N35" s="204"/>
      <c r="O35" s="202"/>
      <c r="P35" s="203"/>
      <c r="Q35" s="203"/>
      <c r="R35" s="204"/>
      <c r="S35" s="202"/>
      <c r="T35" s="203"/>
      <c r="U35" s="203"/>
      <c r="V35" s="204"/>
      <c r="W35" s="202"/>
      <c r="X35" s="203"/>
      <c r="Y35" s="203"/>
      <c r="Z35" s="204"/>
      <c r="AA35" s="202"/>
      <c r="AB35" s="203"/>
      <c r="AC35" s="203"/>
      <c r="AD35" s="204"/>
      <c r="AE35" s="203"/>
      <c r="AF35" s="203"/>
      <c r="AG35" s="203"/>
    </row>
    <row r="36" spans="1:33" s="9" customFormat="1" ht="12.75">
      <c r="A36" s="90"/>
      <c r="B36" s="90"/>
      <c r="C36" s="39"/>
      <c r="D36" s="40"/>
      <c r="E36" s="40"/>
      <c r="F36" s="40"/>
      <c r="G36" s="39"/>
      <c r="H36" s="40"/>
      <c r="I36" s="40"/>
      <c r="J36" s="41"/>
      <c r="K36" s="39"/>
      <c r="L36" s="40"/>
      <c r="M36" s="40"/>
      <c r="N36" s="41"/>
      <c r="O36" s="39"/>
      <c r="P36" s="40"/>
      <c r="Q36" s="40"/>
      <c r="R36" s="41"/>
      <c r="S36" s="39"/>
      <c r="T36" s="40"/>
      <c r="U36" s="40"/>
      <c r="V36" s="41"/>
      <c r="W36" s="39"/>
      <c r="X36" s="40"/>
      <c r="Y36" s="40"/>
      <c r="Z36" s="41"/>
      <c r="AA36" s="39"/>
      <c r="AB36" s="40"/>
      <c r="AC36" s="40"/>
      <c r="AD36" s="41"/>
      <c r="AE36" s="40"/>
      <c r="AF36" s="40"/>
      <c r="AG36" s="40"/>
    </row>
    <row r="37" spans="1:33" s="9" customFormat="1" ht="12.75">
      <c r="A37" s="90" t="s">
        <v>339</v>
      </c>
      <c r="B37" s="90" t="s">
        <v>139</v>
      </c>
      <c r="C37" s="39">
        <f>SUM(C38:C39)</f>
        <v>1940.6999999999998</v>
      </c>
      <c r="D37" s="40">
        <f aca="true" t="shared" si="18" ref="D37:X37">SUM(D38:D39)</f>
        <v>2130.2</v>
      </c>
      <c r="E37" s="40">
        <f t="shared" si="18"/>
        <v>2223.5</v>
      </c>
      <c r="F37" s="40">
        <f t="shared" si="18"/>
        <v>2572.4</v>
      </c>
      <c r="G37" s="39">
        <f t="shared" si="18"/>
        <v>2375</v>
      </c>
      <c r="H37" s="40">
        <f t="shared" si="18"/>
        <v>2885.4</v>
      </c>
      <c r="I37" s="40">
        <f t="shared" si="18"/>
        <v>2562.9</v>
      </c>
      <c r="J37" s="41">
        <f t="shared" si="18"/>
        <v>2886.2</v>
      </c>
      <c r="K37" s="39">
        <f t="shared" si="18"/>
        <v>2195.5</v>
      </c>
      <c r="L37" s="40">
        <f t="shared" si="18"/>
        <v>1661</v>
      </c>
      <c r="M37" s="40">
        <f t="shared" si="18"/>
        <v>1679.3</v>
      </c>
      <c r="N37" s="41">
        <f t="shared" si="18"/>
        <v>1508.2</v>
      </c>
      <c r="O37" s="39">
        <f t="shared" si="18"/>
        <v>1525.6000000000001</v>
      </c>
      <c r="P37" s="40">
        <f t="shared" si="18"/>
        <v>1382.5</v>
      </c>
      <c r="Q37" s="40">
        <f t="shared" si="18"/>
        <v>2799.2</v>
      </c>
      <c r="R37" s="41">
        <f t="shared" si="18"/>
        <v>1695</v>
      </c>
      <c r="S37" s="39">
        <f t="shared" si="18"/>
        <v>1787.3000000000002</v>
      </c>
      <c r="T37" s="40">
        <f t="shared" si="18"/>
        <v>1637.3000000000002</v>
      </c>
      <c r="U37" s="40">
        <f t="shared" si="18"/>
        <v>2223.2</v>
      </c>
      <c r="V37" s="41">
        <f t="shared" si="18"/>
        <v>2102.6</v>
      </c>
      <c r="W37" s="39">
        <f t="shared" si="18"/>
        <v>1680</v>
      </c>
      <c r="X37" s="40">
        <f t="shared" si="18"/>
        <v>1643.2</v>
      </c>
      <c r="Y37" s="40">
        <f aca="true" t="shared" si="19" ref="Y37:AD37">SUM(Y38:Y39)</f>
        <v>1632.2</v>
      </c>
      <c r="Z37" s="41">
        <f t="shared" si="19"/>
        <v>2099</v>
      </c>
      <c r="AA37" s="39">
        <f t="shared" si="19"/>
        <v>1881.6999999999998</v>
      </c>
      <c r="AB37" s="40">
        <f t="shared" si="19"/>
        <v>1933.9</v>
      </c>
      <c r="AC37" s="40">
        <f t="shared" si="19"/>
        <v>1938.8000000000002</v>
      </c>
      <c r="AD37" s="41">
        <f t="shared" si="19"/>
        <v>2090.8</v>
      </c>
      <c r="AE37" s="40">
        <f>SUM(AE38:AE39)</f>
        <v>2016.7</v>
      </c>
      <c r="AF37" s="40">
        <f>SUM(AF38:AF39)</f>
        <v>1910.5</v>
      </c>
      <c r="AG37" s="40">
        <f>SUM(AG38:AG39)</f>
        <v>1936.8</v>
      </c>
    </row>
    <row r="38" spans="1:33" s="66" customFormat="1" ht="12.75">
      <c r="A38" s="106" t="s">
        <v>343</v>
      </c>
      <c r="B38" s="106" t="s">
        <v>140</v>
      </c>
      <c r="C38" s="57">
        <v>852.5</v>
      </c>
      <c r="D38" s="58">
        <v>910</v>
      </c>
      <c r="E38" s="58">
        <v>1104.9</v>
      </c>
      <c r="F38" s="58">
        <v>2028.9</v>
      </c>
      <c r="G38" s="57">
        <v>1264.2</v>
      </c>
      <c r="H38" s="58">
        <v>1695.5</v>
      </c>
      <c r="I38" s="58">
        <v>1176.2</v>
      </c>
      <c r="J38" s="59">
        <v>2400.7</v>
      </c>
      <c r="K38" s="57">
        <v>1266.1</v>
      </c>
      <c r="L38" s="58">
        <v>1182.3</v>
      </c>
      <c r="M38" s="58">
        <v>1198.3</v>
      </c>
      <c r="N38" s="59">
        <v>1304</v>
      </c>
      <c r="O38" s="57">
        <v>1141.4</v>
      </c>
      <c r="P38" s="58">
        <v>1081.4</v>
      </c>
      <c r="Q38" s="58">
        <v>1878.3</v>
      </c>
      <c r="R38" s="59">
        <v>1455.3</v>
      </c>
      <c r="S38" s="57">
        <v>1357.9</v>
      </c>
      <c r="T38" s="58">
        <v>1285.7</v>
      </c>
      <c r="U38" s="58">
        <v>1569.5</v>
      </c>
      <c r="V38" s="59">
        <v>1930.9</v>
      </c>
      <c r="W38" s="57">
        <v>1216.3</v>
      </c>
      <c r="X38" s="58">
        <v>1254.5</v>
      </c>
      <c r="Y38" s="58">
        <v>1318.5</v>
      </c>
      <c r="Z38" s="59">
        <v>1982.1</v>
      </c>
      <c r="AA38" s="57">
        <v>1446.1</v>
      </c>
      <c r="AB38" s="58">
        <v>1501.7</v>
      </c>
      <c r="AC38" s="58">
        <v>1511.7</v>
      </c>
      <c r="AD38" s="59">
        <v>2029</v>
      </c>
      <c r="AE38" s="58">
        <v>1589</v>
      </c>
      <c r="AF38" s="58">
        <v>1625.2</v>
      </c>
      <c r="AG38" s="58">
        <v>1622.5</v>
      </c>
    </row>
    <row r="39" spans="1:33" s="118" customFormat="1" ht="12.75">
      <c r="A39" s="106" t="s">
        <v>446</v>
      </c>
      <c r="B39" s="106" t="s">
        <v>141</v>
      </c>
      <c r="C39" s="57">
        <f>1086.6+1.6</f>
        <v>1088.1999999999998</v>
      </c>
      <c r="D39" s="58">
        <f>1218.2+2</f>
        <v>1220.2</v>
      </c>
      <c r="E39" s="58">
        <f>1116.5+2.1</f>
        <v>1118.6</v>
      </c>
      <c r="F39" s="58">
        <v>543.5</v>
      </c>
      <c r="G39" s="57">
        <v>1110.8</v>
      </c>
      <c r="H39" s="58">
        <v>1189.9</v>
      </c>
      <c r="I39" s="58">
        <v>1386.7</v>
      </c>
      <c r="J39" s="59">
        <v>485.5</v>
      </c>
      <c r="K39" s="57">
        <v>929.4</v>
      </c>
      <c r="L39" s="58">
        <v>478.7</v>
      </c>
      <c r="M39" s="58">
        <v>481</v>
      </c>
      <c r="N39" s="59">
        <v>204.2</v>
      </c>
      <c r="O39" s="57">
        <v>384.2</v>
      </c>
      <c r="P39" s="58">
        <v>301.1</v>
      </c>
      <c r="Q39" s="58">
        <v>920.9</v>
      </c>
      <c r="R39" s="59">
        <v>239.7</v>
      </c>
      <c r="S39" s="57">
        <v>429.4</v>
      </c>
      <c r="T39" s="58">
        <v>351.6</v>
      </c>
      <c r="U39" s="58">
        <v>653.7</v>
      </c>
      <c r="V39" s="59">
        <v>171.7</v>
      </c>
      <c r="W39" s="57">
        <v>463.7</v>
      </c>
      <c r="X39" s="58">
        <v>388.7</v>
      </c>
      <c r="Y39" s="58">
        <v>313.7</v>
      </c>
      <c r="Z39" s="59">
        <v>116.9</v>
      </c>
      <c r="AA39" s="57">
        <v>435.6</v>
      </c>
      <c r="AB39" s="58">
        <v>432.2</v>
      </c>
      <c r="AC39" s="58">
        <v>427.1</v>
      </c>
      <c r="AD39" s="59">
        <v>61.8</v>
      </c>
      <c r="AE39" s="58">
        <v>427.7</v>
      </c>
      <c r="AF39" s="58">
        <v>285.3</v>
      </c>
      <c r="AG39" s="58">
        <v>314.3</v>
      </c>
    </row>
    <row r="40" spans="1:33" ht="12.75">
      <c r="A40" s="25" t="s">
        <v>340</v>
      </c>
      <c r="B40" s="25" t="s">
        <v>137</v>
      </c>
      <c r="C40" s="39">
        <v>1.4</v>
      </c>
      <c r="D40" s="40">
        <v>0.7</v>
      </c>
      <c r="E40" s="40">
        <v>9.3</v>
      </c>
      <c r="F40" s="40">
        <v>6.6</v>
      </c>
      <c r="G40" s="39">
        <v>7.2</v>
      </c>
      <c r="H40" s="40">
        <v>4.6</v>
      </c>
      <c r="I40" s="40">
        <v>2.2</v>
      </c>
      <c r="J40" s="41">
        <v>16</v>
      </c>
      <c r="K40" s="39">
        <v>4.5</v>
      </c>
      <c r="L40" s="40">
        <v>13.7</v>
      </c>
      <c r="M40" s="40">
        <v>5.5</v>
      </c>
      <c r="N40" s="41">
        <v>1.1</v>
      </c>
      <c r="O40" s="39">
        <v>0.6</v>
      </c>
      <c r="P40" s="40">
        <v>0.6</v>
      </c>
      <c r="Q40" s="40">
        <v>0.6</v>
      </c>
      <c r="R40" s="41">
        <v>1.9</v>
      </c>
      <c r="S40" s="39">
        <v>2.1</v>
      </c>
      <c r="T40" s="40">
        <v>2.2</v>
      </c>
      <c r="U40" s="40">
        <v>2.1</v>
      </c>
      <c r="V40" s="41">
        <v>2.1</v>
      </c>
      <c r="W40" s="39">
        <v>1.9</v>
      </c>
      <c r="X40" s="40">
        <v>1.4</v>
      </c>
      <c r="Y40" s="40">
        <v>1.6</v>
      </c>
      <c r="Z40" s="41">
        <v>3.6</v>
      </c>
      <c r="AA40" s="39">
        <v>54.9</v>
      </c>
      <c r="AB40" s="40">
        <v>51.9</v>
      </c>
      <c r="AC40" s="40">
        <v>7.7</v>
      </c>
      <c r="AD40" s="41">
        <v>9.6</v>
      </c>
      <c r="AE40" s="40">
        <v>6</v>
      </c>
      <c r="AF40" s="40">
        <v>10.8</v>
      </c>
      <c r="AG40" s="40">
        <v>7.3</v>
      </c>
    </row>
    <row r="41" spans="1:33" s="13" customFormat="1" ht="12.75">
      <c r="A41" s="99" t="s">
        <v>344</v>
      </c>
      <c r="B41" s="99" t="s">
        <v>83</v>
      </c>
      <c r="C41" s="94">
        <f aca="true" t="shared" si="20" ref="C41:AA41">C37+C40</f>
        <v>1942.1</v>
      </c>
      <c r="D41" s="95">
        <f t="shared" si="20"/>
        <v>2130.8999999999996</v>
      </c>
      <c r="E41" s="95">
        <f t="shared" si="20"/>
        <v>2232.8</v>
      </c>
      <c r="F41" s="95">
        <f t="shared" si="20"/>
        <v>2579</v>
      </c>
      <c r="G41" s="94">
        <f t="shared" si="20"/>
        <v>2382.2</v>
      </c>
      <c r="H41" s="95">
        <f t="shared" si="20"/>
        <v>2890</v>
      </c>
      <c r="I41" s="95">
        <f t="shared" si="20"/>
        <v>2565.1</v>
      </c>
      <c r="J41" s="96">
        <f t="shared" si="20"/>
        <v>2902.2</v>
      </c>
      <c r="K41" s="94">
        <f t="shared" si="20"/>
        <v>2200</v>
      </c>
      <c r="L41" s="95">
        <f t="shared" si="20"/>
        <v>1674.7</v>
      </c>
      <c r="M41" s="95">
        <f t="shared" si="20"/>
        <v>1684.8</v>
      </c>
      <c r="N41" s="96">
        <f t="shared" si="20"/>
        <v>1509.3</v>
      </c>
      <c r="O41" s="94">
        <f t="shared" si="20"/>
        <v>1526.2</v>
      </c>
      <c r="P41" s="95">
        <f t="shared" si="20"/>
        <v>1383.1</v>
      </c>
      <c r="Q41" s="95">
        <f t="shared" si="20"/>
        <v>2799.7999999999997</v>
      </c>
      <c r="R41" s="96">
        <f t="shared" si="20"/>
        <v>1696.9</v>
      </c>
      <c r="S41" s="94">
        <f t="shared" si="20"/>
        <v>1789.4</v>
      </c>
      <c r="T41" s="95">
        <f t="shared" si="20"/>
        <v>1639.5000000000002</v>
      </c>
      <c r="U41" s="95">
        <f t="shared" si="20"/>
        <v>2225.2999999999997</v>
      </c>
      <c r="V41" s="96">
        <f t="shared" si="20"/>
        <v>2104.7</v>
      </c>
      <c r="W41" s="94">
        <f t="shared" si="20"/>
        <v>1681.9</v>
      </c>
      <c r="X41" s="95">
        <f t="shared" si="20"/>
        <v>1644.6000000000001</v>
      </c>
      <c r="Y41" s="95">
        <f t="shared" si="20"/>
        <v>1633.8</v>
      </c>
      <c r="Z41" s="96">
        <f t="shared" si="20"/>
        <v>2102.6</v>
      </c>
      <c r="AA41" s="94">
        <f t="shared" si="20"/>
        <v>1936.6</v>
      </c>
      <c r="AB41" s="95">
        <f aca="true" t="shared" si="21" ref="AB41:AG41">AB37+AB40</f>
        <v>1985.8000000000002</v>
      </c>
      <c r="AC41" s="95">
        <f t="shared" si="21"/>
        <v>1946.5000000000002</v>
      </c>
      <c r="AD41" s="96">
        <f t="shared" si="21"/>
        <v>2100.4</v>
      </c>
      <c r="AE41" s="95">
        <f t="shared" si="21"/>
        <v>2022.7</v>
      </c>
      <c r="AF41" s="95">
        <f t="shared" si="21"/>
        <v>1921.3</v>
      </c>
      <c r="AG41" s="95">
        <f t="shared" si="21"/>
        <v>1944.1</v>
      </c>
    </row>
    <row r="43" spans="3:18" ht="12.75">
      <c r="C43" s="97"/>
      <c r="D43" s="97"/>
      <c r="E43" s="97"/>
      <c r="F43" s="97"/>
      <c r="G43" s="97"/>
      <c r="H43" s="97"/>
      <c r="I43" s="97"/>
      <c r="J43" s="97"/>
      <c r="K43" s="97"/>
      <c r="L43" s="97"/>
      <c r="M43" s="97"/>
      <c r="N43" s="97"/>
      <c r="O43" s="97"/>
      <c r="P43" s="97"/>
      <c r="Q43" s="97"/>
      <c r="R43" s="97"/>
    </row>
    <row r="45" spans="3:33" ht="12.75">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row>
  </sheetData>
  <sheetProtection/>
  <mergeCells count="10">
    <mergeCell ref="AE3:AG3"/>
    <mergeCell ref="AA3:AD3"/>
    <mergeCell ref="W3:Z3"/>
    <mergeCell ref="O3:R3"/>
    <mergeCell ref="S3:V3"/>
    <mergeCell ref="A3:A4"/>
    <mergeCell ref="B3:B4"/>
    <mergeCell ref="C3:F3"/>
    <mergeCell ref="G3:J3"/>
    <mergeCell ref="K3:N3"/>
  </mergeCells>
  <printOptions horizontalCentered="1"/>
  <pageMargins left="0.2362204724409449" right="0.2362204724409449" top="0.7480314960629921" bottom="0.7480314960629921" header="0.31496062992125984" footer="0.31496062992125984"/>
  <pageSetup horizontalDpi="600" verticalDpi="600" orientation="landscape" paperSize="9" scale="48" r:id="rId1"/>
  <headerFooter alignWithMargins="0">
    <oddHeader>&amp;C&amp;"Times New Roman,Kursywa"&amp;12
</oddHeader>
  </headerFooter>
  <ignoredErrors>
    <ignoredError sqref="N15:Z18 AA8:AB14 N20:Z22 S34:Z34 N35:Z37 F32:M41 F15:M23 AA34:AA37 AA22 AA21 F24:AA24 F27:M30 N29:AA30 AA15:AA20 AB27:AD30 AB24:AD24 AB22 AB33:AD33 AE29:AE30 AE27 AB34:AE37 AB32:AE32 AC15:AD23 AB15:AB20 AB25:AF26 AE15:AF20 AB21 AE21:AF23 AE33:AF33 AF32 AB38:AF39 AF34:AF37 AE28:AF28 AF27 AB31:AF31 AF29:AF30 AB23 AE24:AF24" formulaRange="1"/>
  </ignoredErrors>
</worksheet>
</file>

<file path=xl/worksheets/sheet13.xml><?xml version="1.0" encoding="utf-8"?>
<worksheet xmlns="http://schemas.openxmlformats.org/spreadsheetml/2006/main" xmlns:r="http://schemas.openxmlformats.org/officeDocument/2006/relationships">
  <dimension ref="A1:AG87"/>
  <sheetViews>
    <sheetView showGridLines="0" view="pageBreakPreview" zoomScale="85" zoomScaleSheetLayoutView="85" zoomScalePageLayoutView="0" workbookViewId="0" topLeftCell="A52">
      <pane xSplit="2" topLeftCell="AD1" activePane="topRight" state="frozen"/>
      <selection pane="topLeft" activeCell="B2" sqref="B2:B3"/>
      <selection pane="topRight" activeCell="AK63" sqref="AK63"/>
    </sheetView>
  </sheetViews>
  <sheetFormatPr defaultColWidth="9.00390625" defaultRowHeight="12.75" outlineLevelCol="1"/>
  <cols>
    <col min="1" max="1" width="72.00390625" style="0" customWidth="1"/>
    <col min="2" max="2" width="72.00390625" style="0" hidden="1" customWidth="1" outlineLevel="1"/>
    <col min="3" max="3" width="8.625" style="0" customWidth="1" collapsed="1"/>
    <col min="4" max="30" width="8.625" style="0" customWidth="1"/>
    <col min="31" max="31" width="9.00390625" style="0" bestFit="1" customWidth="1"/>
  </cols>
  <sheetData>
    <row r="1" spans="1:31" ht="12.75">
      <c r="A1" s="2"/>
      <c r="B1" s="2"/>
      <c r="C1" s="4"/>
      <c r="D1" s="4"/>
      <c r="E1" s="4"/>
      <c r="F1" s="4"/>
      <c r="G1" s="4"/>
      <c r="H1" s="4"/>
      <c r="I1" s="4"/>
      <c r="J1" s="4"/>
      <c r="K1" s="3"/>
      <c r="L1" s="3"/>
      <c r="M1" s="3"/>
      <c r="N1" s="3"/>
      <c r="O1" s="3"/>
      <c r="P1" s="3"/>
      <c r="Q1" s="3"/>
      <c r="R1" s="3"/>
      <c r="S1" s="3"/>
      <c r="T1" s="3"/>
      <c r="U1" s="3"/>
      <c r="V1" s="3"/>
      <c r="W1" s="3"/>
      <c r="X1" s="3"/>
      <c r="Y1" s="3"/>
      <c r="Z1" s="3"/>
      <c r="AA1" s="3"/>
      <c r="AB1" s="3"/>
      <c r="AC1" s="3"/>
      <c r="AD1" s="3"/>
      <c r="AE1" s="3"/>
    </row>
    <row r="2" spans="1:31" ht="12.75">
      <c r="A2" s="2"/>
      <c r="B2" s="2"/>
      <c r="C2" s="4"/>
      <c r="D2" s="4"/>
      <c r="E2" s="4"/>
      <c r="F2" s="4"/>
      <c r="G2" s="4"/>
      <c r="H2" s="4"/>
      <c r="I2" s="4"/>
      <c r="J2" s="4"/>
      <c r="K2" s="3"/>
      <c r="L2" s="3"/>
      <c r="M2" s="3"/>
      <c r="N2" s="3"/>
      <c r="O2" s="3"/>
      <c r="P2" s="3"/>
      <c r="Q2" s="3"/>
      <c r="R2" s="3"/>
      <c r="S2" s="3"/>
      <c r="T2" s="3"/>
      <c r="U2" s="3"/>
      <c r="V2" s="3"/>
      <c r="W2" s="3"/>
      <c r="X2" s="3"/>
      <c r="Y2" s="3"/>
      <c r="Z2" s="3"/>
      <c r="AA2" s="3"/>
      <c r="AB2" s="3"/>
      <c r="AC2" s="3"/>
      <c r="AD2" s="3"/>
      <c r="AE2" s="3"/>
    </row>
    <row r="3" spans="1:31" ht="12.75">
      <c r="A3" s="100" t="s">
        <v>536</v>
      </c>
      <c r="B3" s="100" t="s">
        <v>535</v>
      </c>
      <c r="C3" s="4"/>
      <c r="D3" s="4"/>
      <c r="E3" s="4"/>
      <c r="F3" s="4"/>
      <c r="G3" s="4"/>
      <c r="H3" s="4"/>
      <c r="I3" s="4"/>
      <c r="J3" s="4"/>
      <c r="K3" s="3"/>
      <c r="L3" s="3"/>
      <c r="M3" s="3"/>
      <c r="N3" s="3"/>
      <c r="O3" s="3"/>
      <c r="P3" s="3"/>
      <c r="Q3" s="3"/>
      <c r="R3" s="3"/>
      <c r="S3" s="3"/>
      <c r="T3" s="3"/>
      <c r="U3" s="3"/>
      <c r="V3" s="3"/>
      <c r="W3" s="3"/>
      <c r="X3" s="3"/>
      <c r="Y3" s="3"/>
      <c r="Z3" s="3"/>
      <c r="AA3" s="3"/>
      <c r="AB3" s="3"/>
      <c r="AC3" s="3"/>
      <c r="AD3" s="3"/>
      <c r="AE3" s="3"/>
    </row>
    <row r="4" spans="1:31" ht="12.75">
      <c r="A4" s="2"/>
      <c r="B4" s="2"/>
      <c r="C4" s="4"/>
      <c r="D4" s="4"/>
      <c r="E4" s="4"/>
      <c r="F4" s="4"/>
      <c r="G4" s="4"/>
      <c r="H4" s="4"/>
      <c r="I4" s="4"/>
      <c r="J4" s="4"/>
      <c r="K4" s="3"/>
      <c r="L4" s="3"/>
      <c r="M4" s="3"/>
      <c r="N4" s="3"/>
      <c r="O4" s="3"/>
      <c r="P4" s="3"/>
      <c r="Q4" s="3"/>
      <c r="R4" s="3"/>
      <c r="S4" s="3"/>
      <c r="T4" s="3"/>
      <c r="U4" s="3"/>
      <c r="V4" s="3"/>
      <c r="W4" s="3"/>
      <c r="X4" s="3"/>
      <c r="Y4" s="3"/>
      <c r="Z4" s="3"/>
      <c r="AA4" s="3"/>
      <c r="AB4" s="3"/>
      <c r="AC4" s="3"/>
      <c r="AD4" s="3"/>
      <c r="AE4" s="3"/>
    </row>
    <row r="5" spans="1:31" ht="12.75">
      <c r="A5" s="2"/>
      <c r="B5" s="2"/>
      <c r="C5" s="4"/>
      <c r="D5" s="4"/>
      <c r="E5" s="4"/>
      <c r="F5" s="4"/>
      <c r="G5" s="4"/>
      <c r="H5" s="4"/>
      <c r="I5" s="4"/>
      <c r="J5" s="4"/>
      <c r="K5" s="3"/>
      <c r="L5" s="3"/>
      <c r="M5" s="3"/>
      <c r="N5" s="3"/>
      <c r="O5" s="3"/>
      <c r="P5" s="3"/>
      <c r="Q5" s="3"/>
      <c r="R5" s="3"/>
      <c r="S5" s="3"/>
      <c r="T5" s="3"/>
      <c r="U5" s="3"/>
      <c r="V5" s="3"/>
      <c r="W5" s="3"/>
      <c r="X5" s="3"/>
      <c r="Y5" s="3"/>
      <c r="Z5" s="3"/>
      <c r="AA5" s="3"/>
      <c r="AB5" s="3"/>
      <c r="AC5" s="3"/>
      <c r="AD5" s="3"/>
      <c r="AE5" s="3"/>
    </row>
    <row r="6" spans="1:31" ht="12.75">
      <c r="A6" s="2"/>
      <c r="B6" s="2"/>
      <c r="C6" s="4"/>
      <c r="D6" s="4"/>
      <c r="E6" s="4"/>
      <c r="F6" s="4"/>
      <c r="G6" s="4"/>
      <c r="H6" s="4"/>
      <c r="I6" s="4"/>
      <c r="J6" s="4"/>
      <c r="K6" s="3"/>
      <c r="L6" s="3"/>
      <c r="M6" s="3"/>
      <c r="N6" s="3"/>
      <c r="O6" s="3"/>
      <c r="P6" s="3"/>
      <c r="Q6" s="3"/>
      <c r="R6" s="3"/>
      <c r="S6" s="3"/>
      <c r="T6" s="3"/>
      <c r="U6" s="3"/>
      <c r="V6" s="3"/>
      <c r="W6" s="3"/>
      <c r="X6" s="3"/>
      <c r="Y6" s="3"/>
      <c r="Z6" s="3"/>
      <c r="AA6" s="3"/>
      <c r="AB6" s="3"/>
      <c r="AC6" s="3"/>
      <c r="AD6" s="3"/>
      <c r="AE6" s="3"/>
    </row>
    <row r="7" spans="1:31" ht="12.75">
      <c r="A7" s="2"/>
      <c r="B7" s="2"/>
      <c r="C7" s="4"/>
      <c r="D7" s="4"/>
      <c r="E7" s="4"/>
      <c r="F7" s="4"/>
      <c r="G7" s="4"/>
      <c r="H7" s="4"/>
      <c r="I7" s="4"/>
      <c r="J7" s="4"/>
      <c r="K7" s="3"/>
      <c r="L7" s="3"/>
      <c r="M7" s="3"/>
      <c r="N7" s="3"/>
      <c r="O7" s="3"/>
      <c r="P7" s="3"/>
      <c r="Q7" s="3"/>
      <c r="R7" s="3"/>
      <c r="S7" s="3"/>
      <c r="T7" s="3"/>
      <c r="U7" s="3"/>
      <c r="V7" s="3"/>
      <c r="W7" s="3"/>
      <c r="X7" s="3"/>
      <c r="Y7" s="3"/>
      <c r="Z7" s="3"/>
      <c r="AA7" s="3"/>
      <c r="AB7" s="3"/>
      <c r="AC7" s="3"/>
      <c r="AD7" s="3"/>
      <c r="AE7" s="3"/>
    </row>
    <row r="8" spans="1:31" s="146" customFormat="1" ht="12.75">
      <c r="A8" s="2"/>
      <c r="B8" s="2"/>
      <c r="C8" s="4"/>
      <c r="D8" s="4"/>
      <c r="E8" s="4"/>
      <c r="F8" s="4"/>
      <c r="G8" s="4"/>
      <c r="H8" s="4"/>
      <c r="I8" s="4"/>
      <c r="J8" s="4"/>
      <c r="K8" s="3"/>
      <c r="L8" s="3"/>
      <c r="M8" s="3"/>
      <c r="N8" s="3"/>
      <c r="O8" s="3"/>
      <c r="P8" s="3"/>
      <c r="Q8" s="3"/>
      <c r="R8" s="3"/>
      <c r="S8" s="3"/>
      <c r="T8" s="3"/>
      <c r="U8" s="3"/>
      <c r="V8" s="3"/>
      <c r="W8" s="3"/>
      <c r="X8" s="3"/>
      <c r="Y8" s="3"/>
      <c r="Z8" s="3"/>
      <c r="AA8" s="3"/>
      <c r="AB8" s="3"/>
      <c r="AC8" s="3"/>
      <c r="AD8" s="3"/>
      <c r="AE8" s="3"/>
    </row>
    <row r="9" spans="1:31" s="146" customFormat="1" ht="12.75">
      <c r="A9" s="259" t="s">
        <v>585</v>
      </c>
      <c r="B9" s="259" t="s">
        <v>586</v>
      </c>
      <c r="C9" s="4"/>
      <c r="D9" s="4"/>
      <c r="E9" s="4"/>
      <c r="F9" s="4"/>
      <c r="G9" s="4"/>
      <c r="H9" s="4"/>
      <c r="I9" s="4"/>
      <c r="J9" s="4"/>
      <c r="K9" s="3"/>
      <c r="L9" s="3"/>
      <c r="M9" s="3"/>
      <c r="N9" s="3"/>
      <c r="O9" s="3"/>
      <c r="P9" s="3"/>
      <c r="Q9" s="3"/>
      <c r="R9" s="3"/>
      <c r="S9" s="3"/>
      <c r="T9" s="3"/>
      <c r="U9" s="3"/>
      <c r="V9" s="3"/>
      <c r="W9" s="3"/>
      <c r="X9" s="3"/>
      <c r="Y9" s="3"/>
      <c r="Z9" s="3"/>
      <c r="AA9" s="3"/>
      <c r="AB9" s="3"/>
      <c r="AC9" s="3"/>
      <c r="AD9" s="3"/>
      <c r="AE9" s="3"/>
    </row>
    <row r="10" spans="1:33" s="146" customFormat="1" ht="11.25" customHeight="1">
      <c r="A10" s="343" t="s">
        <v>683</v>
      </c>
      <c r="B10" s="343" t="s">
        <v>655</v>
      </c>
      <c r="C10" s="340">
        <v>2007</v>
      </c>
      <c r="D10" s="341"/>
      <c r="E10" s="341"/>
      <c r="F10" s="341"/>
      <c r="G10" s="340">
        <v>2008</v>
      </c>
      <c r="H10" s="341"/>
      <c r="I10" s="341"/>
      <c r="J10" s="341"/>
      <c r="K10" s="340">
        <v>2009</v>
      </c>
      <c r="L10" s="341"/>
      <c r="M10" s="341"/>
      <c r="N10" s="341"/>
      <c r="O10" s="340">
        <v>2010</v>
      </c>
      <c r="P10" s="341"/>
      <c r="Q10" s="341"/>
      <c r="R10" s="341"/>
      <c r="S10" s="340">
        <v>2011</v>
      </c>
      <c r="T10" s="341"/>
      <c r="U10" s="341"/>
      <c r="V10" s="341"/>
      <c r="W10" s="340">
        <v>2012</v>
      </c>
      <c r="X10" s="341"/>
      <c r="Y10" s="341"/>
      <c r="Z10" s="342"/>
      <c r="AA10" s="340">
        <v>2013</v>
      </c>
      <c r="AB10" s="341"/>
      <c r="AC10" s="341"/>
      <c r="AD10" s="342"/>
      <c r="AE10" s="340">
        <v>2014</v>
      </c>
      <c r="AF10" s="341"/>
      <c r="AG10" s="341"/>
    </row>
    <row r="11" spans="1:33" s="146" customFormat="1" ht="9.75">
      <c r="A11" s="344"/>
      <c r="B11" s="344"/>
      <c r="C11" s="34" t="s">
        <v>180</v>
      </c>
      <c r="D11" s="35" t="s">
        <v>181</v>
      </c>
      <c r="E11" s="35" t="s">
        <v>182</v>
      </c>
      <c r="F11" s="35" t="s">
        <v>183</v>
      </c>
      <c r="G11" s="34" t="s">
        <v>180</v>
      </c>
      <c r="H11" s="35" t="s">
        <v>181</v>
      </c>
      <c r="I11" s="35" t="s">
        <v>182</v>
      </c>
      <c r="J11" s="36" t="s">
        <v>183</v>
      </c>
      <c r="K11" s="34" t="s">
        <v>180</v>
      </c>
      <c r="L11" s="35" t="s">
        <v>181</v>
      </c>
      <c r="M11" s="35" t="s">
        <v>182</v>
      </c>
      <c r="N11" s="36" t="s">
        <v>183</v>
      </c>
      <c r="O11" s="34" t="s">
        <v>180</v>
      </c>
      <c r="P11" s="35" t="s">
        <v>181</v>
      </c>
      <c r="Q11" s="35" t="s">
        <v>182</v>
      </c>
      <c r="R11" s="36" t="s">
        <v>183</v>
      </c>
      <c r="S11" s="34" t="s">
        <v>180</v>
      </c>
      <c r="T11" s="35" t="s">
        <v>181</v>
      </c>
      <c r="U11" s="35" t="s">
        <v>182</v>
      </c>
      <c r="V11" s="36" t="s">
        <v>183</v>
      </c>
      <c r="W11" s="34" t="s">
        <v>180</v>
      </c>
      <c r="X11" s="35" t="s">
        <v>181</v>
      </c>
      <c r="Y11" s="35" t="s">
        <v>182</v>
      </c>
      <c r="Z11" s="36" t="s">
        <v>183</v>
      </c>
      <c r="AA11" s="198" t="s">
        <v>180</v>
      </c>
      <c r="AB11" s="198" t="s">
        <v>181</v>
      </c>
      <c r="AC11" s="198" t="s">
        <v>182</v>
      </c>
      <c r="AD11" s="36" t="s">
        <v>183</v>
      </c>
      <c r="AE11" s="198" t="s">
        <v>180</v>
      </c>
      <c r="AF11" s="198" t="s">
        <v>181</v>
      </c>
      <c r="AG11" s="198" t="s">
        <v>182</v>
      </c>
    </row>
    <row r="12" spans="1:33" s="146" customFormat="1" ht="12.75" customHeight="1">
      <c r="A12" s="20" t="s">
        <v>185</v>
      </c>
      <c r="B12" s="20" t="s">
        <v>12</v>
      </c>
      <c r="C12" s="16"/>
      <c r="D12" s="6"/>
      <c r="E12" s="5"/>
      <c r="F12" s="6"/>
      <c r="G12" s="16"/>
      <c r="H12" s="6"/>
      <c r="I12" s="5"/>
      <c r="J12" s="17"/>
      <c r="K12" s="16"/>
      <c r="L12" s="6"/>
      <c r="M12" s="5"/>
      <c r="N12" s="17"/>
      <c r="O12" s="16"/>
      <c r="P12" s="6"/>
      <c r="Q12" s="5"/>
      <c r="R12" s="17"/>
      <c r="S12" s="313"/>
      <c r="T12" s="314"/>
      <c r="U12" s="315"/>
      <c r="V12" s="316"/>
      <c r="W12" s="313"/>
      <c r="X12" s="315"/>
      <c r="Y12" s="315"/>
      <c r="Z12" s="317"/>
      <c r="AA12" s="315"/>
      <c r="AB12" s="315"/>
      <c r="AC12" s="315"/>
      <c r="AD12" s="317"/>
      <c r="AE12" s="315"/>
      <c r="AF12" s="315"/>
      <c r="AG12" s="315"/>
    </row>
    <row r="13" spans="1:33" s="227" customFormat="1" ht="13.5">
      <c r="A13" s="223" t="s">
        <v>537</v>
      </c>
      <c r="B13" s="223" t="s">
        <v>452</v>
      </c>
      <c r="C13" s="224"/>
      <c r="D13" s="225"/>
      <c r="E13" s="225"/>
      <c r="F13" s="226"/>
      <c r="G13" s="224"/>
      <c r="H13" s="225"/>
      <c r="I13" s="225"/>
      <c r="J13" s="226"/>
      <c r="K13" s="225"/>
      <c r="L13" s="225"/>
      <c r="M13" s="225"/>
      <c r="N13" s="225"/>
      <c r="O13" s="224"/>
      <c r="P13" s="225"/>
      <c r="Q13" s="225"/>
      <c r="R13" s="226"/>
      <c r="S13" s="318"/>
      <c r="T13" s="318"/>
      <c r="U13" s="318"/>
      <c r="V13" s="318"/>
      <c r="W13" s="319"/>
      <c r="X13" s="318"/>
      <c r="Y13" s="318"/>
      <c r="Z13" s="320"/>
      <c r="AA13" s="318"/>
      <c r="AB13" s="318"/>
      <c r="AC13" s="318"/>
      <c r="AD13" s="317"/>
      <c r="AE13" s="315"/>
      <c r="AF13" s="315"/>
      <c r="AG13" s="315"/>
    </row>
    <row r="14" spans="1:33" ht="12.75">
      <c r="A14" s="152" t="s">
        <v>489</v>
      </c>
      <c r="B14" s="152" t="s">
        <v>453</v>
      </c>
      <c r="C14" s="153">
        <f aca="true" t="shared" si="0" ref="C14:AD14">SUM(C15,C27,C29)</f>
        <v>3928.2000000000003</v>
      </c>
      <c r="D14" s="154">
        <f t="shared" si="0"/>
        <v>3650.9</v>
      </c>
      <c r="E14" s="154">
        <f t="shared" si="0"/>
        <v>3822.1</v>
      </c>
      <c r="F14" s="155">
        <f t="shared" si="0"/>
        <v>3840.5</v>
      </c>
      <c r="G14" s="153">
        <f t="shared" si="0"/>
        <v>4015.399999999999</v>
      </c>
      <c r="H14" s="154">
        <f t="shared" si="0"/>
        <v>3979.2999999999993</v>
      </c>
      <c r="I14" s="154">
        <f t="shared" si="0"/>
        <v>4279.7</v>
      </c>
      <c r="J14" s="155">
        <f t="shared" si="0"/>
        <v>4224.499999999999</v>
      </c>
      <c r="K14" s="154">
        <f t="shared" si="0"/>
        <v>4283.199999999999</v>
      </c>
      <c r="L14" s="154">
        <f t="shared" si="0"/>
        <v>4516.9</v>
      </c>
      <c r="M14" s="154">
        <f t="shared" si="0"/>
        <v>4744.400000000001</v>
      </c>
      <c r="N14" s="154">
        <f t="shared" si="0"/>
        <v>4886.7</v>
      </c>
      <c r="O14" s="153">
        <f t="shared" si="0"/>
        <v>5134</v>
      </c>
      <c r="P14" s="154">
        <f t="shared" si="0"/>
        <v>5282.400000000001</v>
      </c>
      <c r="Q14" s="154">
        <f t="shared" si="0"/>
        <v>5531.9</v>
      </c>
      <c r="R14" s="155">
        <f t="shared" si="0"/>
        <v>5653.099999999999</v>
      </c>
      <c r="S14" s="321">
        <f t="shared" si="0"/>
        <v>5784.299999999999</v>
      </c>
      <c r="T14" s="321">
        <f t="shared" si="0"/>
        <v>5953.8</v>
      </c>
      <c r="U14" s="321">
        <f t="shared" si="0"/>
        <v>6196.899999999999</v>
      </c>
      <c r="V14" s="321">
        <f t="shared" si="0"/>
        <v>6416</v>
      </c>
      <c r="W14" s="309">
        <f t="shared" si="0"/>
        <v>6753.400000000001</v>
      </c>
      <c r="X14" s="321">
        <f t="shared" si="0"/>
        <v>6981.1</v>
      </c>
      <c r="Y14" s="321">
        <f t="shared" si="0"/>
        <v>7427.199999999999</v>
      </c>
      <c r="Z14" s="322">
        <f t="shared" si="0"/>
        <v>8136.1</v>
      </c>
      <c r="AA14" s="321">
        <f t="shared" si="0"/>
        <v>8238.8</v>
      </c>
      <c r="AB14" s="321">
        <f t="shared" si="0"/>
        <v>8133.499999999999</v>
      </c>
      <c r="AC14" s="321">
        <f t="shared" si="0"/>
        <v>8271.5</v>
      </c>
      <c r="AD14" s="322">
        <f t="shared" si="0"/>
        <v>8628.599999999999</v>
      </c>
      <c r="AE14" s="321">
        <f>SUM(AE15,AE27,AE29)</f>
        <v>8887.9</v>
      </c>
      <c r="AF14" s="321">
        <f>SUM(AF15,AF27,AF29)</f>
        <v>9161.1</v>
      </c>
      <c r="AG14" s="321">
        <f>SUM(AG15,AG27,AG29)</f>
        <v>9934.2</v>
      </c>
    </row>
    <row r="15" spans="1:33" ht="12.75">
      <c r="A15" s="152" t="s">
        <v>497</v>
      </c>
      <c r="B15" s="152" t="s">
        <v>454</v>
      </c>
      <c r="C15" s="153">
        <f aca="true" t="shared" si="1" ref="C15:AD15">SUM(C16:C26)</f>
        <v>3147.3</v>
      </c>
      <c r="D15" s="154">
        <f t="shared" si="1"/>
        <v>3315.7</v>
      </c>
      <c r="E15" s="154">
        <f t="shared" si="1"/>
        <v>3288.8999999999996</v>
      </c>
      <c r="F15" s="155">
        <f t="shared" si="1"/>
        <v>3209.7999999999997</v>
      </c>
      <c r="G15" s="153">
        <f t="shared" si="1"/>
        <v>3570.6999999999994</v>
      </c>
      <c r="H15" s="154">
        <f t="shared" si="1"/>
        <v>3539.7999999999993</v>
      </c>
      <c r="I15" s="154">
        <f t="shared" si="1"/>
        <v>4054.1</v>
      </c>
      <c r="J15" s="155">
        <f t="shared" si="1"/>
        <v>4083.3999999999996</v>
      </c>
      <c r="K15" s="154">
        <f t="shared" si="1"/>
        <v>4102.2</v>
      </c>
      <c r="L15" s="154">
        <f t="shared" si="1"/>
        <v>4177.9</v>
      </c>
      <c r="M15" s="154">
        <f t="shared" si="1"/>
        <v>4465.900000000001</v>
      </c>
      <c r="N15" s="154">
        <f t="shared" si="1"/>
        <v>4485.400000000001</v>
      </c>
      <c r="O15" s="153">
        <f t="shared" si="1"/>
        <v>4822.400000000001</v>
      </c>
      <c r="P15" s="154">
        <f t="shared" si="1"/>
        <v>4818.500000000001</v>
      </c>
      <c r="Q15" s="154">
        <f t="shared" si="1"/>
        <v>5191.599999999999</v>
      </c>
      <c r="R15" s="155">
        <f t="shared" si="1"/>
        <v>5191.499999999999</v>
      </c>
      <c r="S15" s="321">
        <f t="shared" si="1"/>
        <v>5332.499999999999</v>
      </c>
      <c r="T15" s="321">
        <f t="shared" si="1"/>
        <v>5383.3</v>
      </c>
      <c r="U15" s="321">
        <f t="shared" si="1"/>
        <v>5819.499999999999</v>
      </c>
      <c r="V15" s="321">
        <f t="shared" si="1"/>
        <v>5817.2</v>
      </c>
      <c r="W15" s="309">
        <f t="shared" si="1"/>
        <v>6259.900000000001</v>
      </c>
      <c r="X15" s="321">
        <f t="shared" si="1"/>
        <v>6528.3</v>
      </c>
      <c r="Y15" s="321">
        <f t="shared" si="1"/>
        <v>6700.299999999999</v>
      </c>
      <c r="Z15" s="322">
        <f t="shared" si="1"/>
        <v>6699.900000000001</v>
      </c>
      <c r="AA15" s="321">
        <f t="shared" si="1"/>
        <v>7093</v>
      </c>
      <c r="AB15" s="321">
        <f t="shared" si="1"/>
        <v>7043.999999999999</v>
      </c>
      <c r="AC15" s="321">
        <f t="shared" si="1"/>
        <v>7544.3</v>
      </c>
      <c r="AD15" s="322">
        <f t="shared" si="1"/>
        <v>7460.499999999999</v>
      </c>
      <c r="AE15" s="321">
        <f>SUM(AE16:AE26)</f>
        <v>7046.299999999999</v>
      </c>
      <c r="AF15" s="321">
        <v>7453.3</v>
      </c>
      <c r="AG15" s="321">
        <v>7492.4</v>
      </c>
    </row>
    <row r="16" spans="1:33" s="160" customFormat="1" ht="12.75">
      <c r="A16" s="156" t="s">
        <v>490</v>
      </c>
      <c r="B16" s="156" t="s">
        <v>455</v>
      </c>
      <c r="C16" s="157">
        <v>130.1</v>
      </c>
      <c r="D16" s="158">
        <v>130.1</v>
      </c>
      <c r="E16" s="158">
        <v>130.1</v>
      </c>
      <c r="F16" s="159">
        <v>130.1</v>
      </c>
      <c r="G16" s="157">
        <v>130.1</v>
      </c>
      <c r="H16" s="158">
        <v>130.1</v>
      </c>
      <c r="I16" s="158">
        <v>130.1</v>
      </c>
      <c r="J16" s="159">
        <v>130.1</v>
      </c>
      <c r="K16" s="158">
        <v>130.1</v>
      </c>
      <c r="L16" s="158">
        <v>130.1</v>
      </c>
      <c r="M16" s="158">
        <v>130.1</v>
      </c>
      <c r="N16" s="158">
        <v>130.1</v>
      </c>
      <c r="O16" s="157">
        <v>130.1</v>
      </c>
      <c r="P16" s="158">
        <v>130.1</v>
      </c>
      <c r="Q16" s="158">
        <v>130.1</v>
      </c>
      <c r="R16" s="159">
        <v>130.1</v>
      </c>
      <c r="S16" s="164">
        <v>130.1</v>
      </c>
      <c r="T16" s="164">
        <v>130.1</v>
      </c>
      <c r="U16" s="164">
        <v>130.1</v>
      </c>
      <c r="V16" s="164">
        <v>130.1</v>
      </c>
      <c r="W16" s="163">
        <v>130.1</v>
      </c>
      <c r="X16" s="164">
        <v>130.10000000000002</v>
      </c>
      <c r="Y16" s="164">
        <v>130.10000000000002</v>
      </c>
      <c r="Z16" s="165">
        <v>130.10000000000002</v>
      </c>
      <c r="AA16" s="164">
        <v>130.10000000000002</v>
      </c>
      <c r="AB16" s="164">
        <v>130.10000000000002</v>
      </c>
      <c r="AC16" s="164">
        <v>130.10000000000002</v>
      </c>
      <c r="AD16" s="165">
        <v>130.10000000000002</v>
      </c>
      <c r="AE16" s="164">
        <v>130.10000000000002</v>
      </c>
      <c r="AF16" s="164"/>
      <c r="AG16" s="164"/>
    </row>
    <row r="17" spans="1:33" s="160" customFormat="1" ht="12.75">
      <c r="A17" s="156" t="s">
        <v>491</v>
      </c>
      <c r="B17" s="156" t="s">
        <v>456</v>
      </c>
      <c r="C17" s="157">
        <v>956.3</v>
      </c>
      <c r="D17" s="158">
        <v>956.3</v>
      </c>
      <c r="E17" s="158">
        <v>956.3</v>
      </c>
      <c r="F17" s="159">
        <v>956.3</v>
      </c>
      <c r="G17" s="157">
        <v>956.3</v>
      </c>
      <c r="H17" s="158">
        <v>956.3</v>
      </c>
      <c r="I17" s="158">
        <v>956.3</v>
      </c>
      <c r="J17" s="159">
        <v>956.3</v>
      </c>
      <c r="K17" s="158">
        <v>956.3</v>
      </c>
      <c r="L17" s="158">
        <v>956.3</v>
      </c>
      <c r="M17" s="158">
        <v>956.3</v>
      </c>
      <c r="N17" s="158">
        <v>956.3</v>
      </c>
      <c r="O17" s="157">
        <v>956.3</v>
      </c>
      <c r="P17" s="158">
        <v>956.3</v>
      </c>
      <c r="Q17" s="158">
        <v>956.3</v>
      </c>
      <c r="R17" s="159">
        <v>956.3</v>
      </c>
      <c r="S17" s="164">
        <v>956.3</v>
      </c>
      <c r="T17" s="164">
        <v>956.3</v>
      </c>
      <c r="U17" s="164">
        <v>956.3</v>
      </c>
      <c r="V17" s="164">
        <v>956.3</v>
      </c>
      <c r="W17" s="163">
        <v>956.3</v>
      </c>
      <c r="X17" s="164">
        <v>956.3</v>
      </c>
      <c r="Y17" s="164">
        <v>956.3</v>
      </c>
      <c r="Z17" s="165">
        <v>956.3</v>
      </c>
      <c r="AA17" s="164">
        <v>956.3</v>
      </c>
      <c r="AB17" s="164">
        <v>956.3</v>
      </c>
      <c r="AC17" s="164">
        <v>956.3</v>
      </c>
      <c r="AD17" s="165">
        <v>956.3</v>
      </c>
      <c r="AE17" s="164">
        <v>956.3</v>
      </c>
      <c r="AF17" s="164"/>
      <c r="AG17" s="164"/>
    </row>
    <row r="18" spans="1:33" s="160" customFormat="1" ht="12.75">
      <c r="A18" s="156" t="s">
        <v>492</v>
      </c>
      <c r="B18" s="156" t="s">
        <v>457</v>
      </c>
      <c r="C18" s="157">
        <v>61.1</v>
      </c>
      <c r="D18" s="158">
        <v>73.4</v>
      </c>
      <c r="E18" s="158">
        <v>73.4</v>
      </c>
      <c r="F18" s="159">
        <v>73.8</v>
      </c>
      <c r="G18" s="157">
        <v>73.8</v>
      </c>
      <c r="H18" s="158">
        <v>73.9</v>
      </c>
      <c r="I18" s="158">
        <v>73.9</v>
      </c>
      <c r="J18" s="159">
        <v>74.9</v>
      </c>
      <c r="K18" s="158">
        <v>74.9</v>
      </c>
      <c r="L18" s="158">
        <v>74.9</v>
      </c>
      <c r="M18" s="158">
        <v>74.9</v>
      </c>
      <c r="N18" s="158">
        <v>74.9</v>
      </c>
      <c r="O18" s="157">
        <v>74.9</v>
      </c>
      <c r="P18" s="158">
        <v>75</v>
      </c>
      <c r="Q18" s="158">
        <v>75</v>
      </c>
      <c r="R18" s="159">
        <v>75.1</v>
      </c>
      <c r="S18" s="164">
        <v>75.1</v>
      </c>
      <c r="T18" s="164">
        <v>75.2</v>
      </c>
      <c r="U18" s="164">
        <v>75.2</v>
      </c>
      <c r="V18" s="164">
        <v>75.4</v>
      </c>
      <c r="W18" s="163">
        <v>75.5</v>
      </c>
      <c r="X18" s="164">
        <v>96.39999999999998</v>
      </c>
      <c r="Y18" s="164">
        <v>96.59999999999997</v>
      </c>
      <c r="Z18" s="165">
        <v>96.69999999999999</v>
      </c>
      <c r="AA18" s="164">
        <v>96.69999999999999</v>
      </c>
      <c r="AB18" s="164">
        <v>136.8</v>
      </c>
      <c r="AC18" s="164">
        <v>136.8</v>
      </c>
      <c r="AD18" s="165">
        <v>136.8</v>
      </c>
      <c r="AE18" s="164">
        <v>140.9</v>
      </c>
      <c r="AF18" s="164"/>
      <c r="AG18" s="164"/>
    </row>
    <row r="19" spans="1:33" s="160" customFormat="1" ht="12.75">
      <c r="A19" s="156" t="s">
        <v>493</v>
      </c>
      <c r="B19" s="156" t="s">
        <v>458</v>
      </c>
      <c r="C19" s="157">
        <v>1359.5</v>
      </c>
      <c r="D19" s="158">
        <v>1506</v>
      </c>
      <c r="E19" s="158">
        <v>1506</v>
      </c>
      <c r="F19" s="159">
        <v>1506</v>
      </c>
      <c r="G19" s="157">
        <v>1506</v>
      </c>
      <c r="H19" s="158">
        <v>1763.9</v>
      </c>
      <c r="I19" s="158">
        <v>1763.9</v>
      </c>
      <c r="J19" s="159">
        <v>1763.9</v>
      </c>
      <c r="K19" s="158">
        <v>1763.9</v>
      </c>
      <c r="L19" s="158">
        <v>2159.5</v>
      </c>
      <c r="M19" s="158">
        <v>2159.5</v>
      </c>
      <c r="N19" s="158">
        <v>2159.5</v>
      </c>
      <c r="O19" s="157">
        <v>2159.5</v>
      </c>
      <c r="P19" s="158">
        <v>2681.6</v>
      </c>
      <c r="Q19" s="158">
        <v>2681.6</v>
      </c>
      <c r="R19" s="159">
        <v>2681.6</v>
      </c>
      <c r="S19" s="164">
        <v>2681.6</v>
      </c>
      <c r="T19" s="164">
        <v>3139.8</v>
      </c>
      <c r="U19" s="164">
        <v>3139.8</v>
      </c>
      <c r="V19" s="164">
        <v>3139.8</v>
      </c>
      <c r="W19" s="163">
        <v>3139.8</v>
      </c>
      <c r="X19" s="164">
        <v>4004.3999999999996</v>
      </c>
      <c r="Y19" s="164">
        <v>4004.3999999999996</v>
      </c>
      <c r="Z19" s="165">
        <v>4004.3999999999996</v>
      </c>
      <c r="AA19" s="164">
        <v>4004.3999999999996</v>
      </c>
      <c r="AB19" s="164">
        <v>4715.099999999999</v>
      </c>
      <c r="AC19" s="164">
        <v>4715.099999999999</v>
      </c>
      <c r="AD19" s="165">
        <v>4715.099999999999</v>
      </c>
      <c r="AE19" s="164">
        <v>4715.099999999999</v>
      </c>
      <c r="AF19" s="164"/>
      <c r="AG19" s="164"/>
    </row>
    <row r="20" spans="1:33" s="160" customFormat="1" ht="12.75">
      <c r="A20" s="156" t="s">
        <v>494</v>
      </c>
      <c r="B20" s="156" t="s">
        <v>459</v>
      </c>
      <c r="C20" s="157">
        <v>480.2</v>
      </c>
      <c r="D20" s="158">
        <v>530.2</v>
      </c>
      <c r="E20" s="158">
        <v>530.2</v>
      </c>
      <c r="F20" s="159">
        <v>530.2</v>
      </c>
      <c r="G20" s="157">
        <v>530.2</v>
      </c>
      <c r="H20" s="158">
        <v>730.2</v>
      </c>
      <c r="I20" s="158">
        <v>730.2</v>
      </c>
      <c r="J20" s="159">
        <v>730.2</v>
      </c>
      <c r="K20" s="158">
        <v>730.2</v>
      </c>
      <c r="L20" s="158">
        <v>790.2</v>
      </c>
      <c r="M20" s="158">
        <v>790.2</v>
      </c>
      <c r="N20" s="158">
        <v>790.2</v>
      </c>
      <c r="O20" s="157">
        <v>790.2</v>
      </c>
      <c r="P20" s="158">
        <v>850.2</v>
      </c>
      <c r="Q20" s="158">
        <v>850.2</v>
      </c>
      <c r="R20" s="159">
        <v>850.2</v>
      </c>
      <c r="S20" s="164">
        <v>850.2</v>
      </c>
      <c r="T20" s="164">
        <v>910.2</v>
      </c>
      <c r="U20" s="164">
        <v>910.2</v>
      </c>
      <c r="V20" s="164">
        <v>910.1</v>
      </c>
      <c r="W20" s="163">
        <v>910.1</v>
      </c>
      <c r="X20" s="164">
        <v>960.2</v>
      </c>
      <c r="Y20" s="164">
        <v>960.2</v>
      </c>
      <c r="Z20" s="165">
        <v>960.2</v>
      </c>
      <c r="AA20" s="164">
        <v>960.2</v>
      </c>
      <c r="AB20" s="164">
        <v>1010.2</v>
      </c>
      <c r="AC20" s="164">
        <v>1010.2</v>
      </c>
      <c r="AD20" s="165">
        <v>1010.2</v>
      </c>
      <c r="AE20" s="164">
        <v>1010.2</v>
      </c>
      <c r="AF20" s="164"/>
      <c r="AG20" s="164"/>
    </row>
    <row r="21" spans="1:33" s="160" customFormat="1" ht="12.75">
      <c r="A21" s="156" t="s">
        <v>495</v>
      </c>
      <c r="B21" s="156" t="s">
        <v>658</v>
      </c>
      <c r="C21" s="157">
        <v>82.10000000000014</v>
      </c>
      <c r="D21" s="158">
        <v>102.20000000000005</v>
      </c>
      <c r="E21" s="158">
        <v>103.70000000000005</v>
      </c>
      <c r="F21" s="159">
        <v>103.29999999999995</v>
      </c>
      <c r="G21" s="157">
        <f>581.4-478.5</f>
        <v>102.89999999999998</v>
      </c>
      <c r="H21" s="158">
        <v>124.19999999999982</v>
      </c>
      <c r="I21" s="158">
        <v>124.29999999999995</v>
      </c>
      <c r="J21" s="159">
        <v>123.89999999999986</v>
      </c>
      <c r="K21" s="158">
        <f>569.3-445.4</f>
        <v>123.89999999999998</v>
      </c>
      <c r="L21" s="158">
        <v>127.90000000000009</v>
      </c>
      <c r="M21" s="158">
        <v>128.70000000000027</v>
      </c>
      <c r="N21" s="158">
        <v>113.80000000000018</v>
      </c>
      <c r="O21" s="157">
        <f>709.1-595.1</f>
        <v>114</v>
      </c>
      <c r="P21" s="158">
        <v>126.90000000000009</v>
      </c>
      <c r="Q21" s="158">
        <v>127</v>
      </c>
      <c r="R21" s="159">
        <v>126.90000000000009</v>
      </c>
      <c r="S21" s="164">
        <f>686.9-558</f>
        <v>128.89999999999998</v>
      </c>
      <c r="T21" s="164">
        <v>169.4000000000001</v>
      </c>
      <c r="U21" s="164">
        <v>170.5</v>
      </c>
      <c r="V21" s="164">
        <v>172.79999999999973</v>
      </c>
      <c r="W21" s="163">
        <f>1047.1-880.1</f>
        <v>166.9999999999999</v>
      </c>
      <c r="X21" s="164">
        <v>112.6</v>
      </c>
      <c r="Y21" s="164">
        <v>112.9</v>
      </c>
      <c r="Z21" s="165">
        <v>112.8</v>
      </c>
      <c r="AA21" s="164">
        <f>945.1-832.3</f>
        <v>112.80000000000007</v>
      </c>
      <c r="AB21" s="164">
        <v>144.8</v>
      </c>
      <c r="AC21" s="164">
        <v>145.1</v>
      </c>
      <c r="AD21" s="165">
        <v>145.89999999999998</v>
      </c>
      <c r="AE21" s="164">
        <v>113.5</v>
      </c>
      <c r="AF21" s="164"/>
      <c r="AG21" s="164"/>
    </row>
    <row r="22" spans="1:33" s="161" customFormat="1" ht="12.75">
      <c r="A22" s="156" t="s">
        <v>686</v>
      </c>
      <c r="B22" s="156" t="s">
        <v>471</v>
      </c>
      <c r="C22" s="157">
        <v>0</v>
      </c>
      <c r="D22" s="158">
        <v>0</v>
      </c>
      <c r="E22" s="158">
        <v>0</v>
      </c>
      <c r="F22" s="159">
        <v>0</v>
      </c>
      <c r="G22" s="157">
        <f>630.7-152.2</f>
        <v>478.50000000000006</v>
      </c>
      <c r="H22" s="158">
        <v>0</v>
      </c>
      <c r="I22" s="158">
        <v>0</v>
      </c>
      <c r="J22" s="159">
        <v>0</v>
      </c>
      <c r="K22" s="158">
        <v>445.4</v>
      </c>
      <c r="L22" s="158">
        <v>0</v>
      </c>
      <c r="M22" s="158">
        <v>0</v>
      </c>
      <c r="N22" s="158">
        <v>0</v>
      </c>
      <c r="O22" s="157">
        <v>595.1</v>
      </c>
      <c r="P22" s="158">
        <v>0</v>
      </c>
      <c r="Q22" s="158">
        <v>0</v>
      </c>
      <c r="R22" s="159">
        <v>0</v>
      </c>
      <c r="S22" s="164">
        <v>558</v>
      </c>
      <c r="T22" s="164">
        <v>0</v>
      </c>
      <c r="U22" s="164">
        <v>0</v>
      </c>
      <c r="V22" s="164">
        <v>0</v>
      </c>
      <c r="W22" s="163">
        <v>880.1</v>
      </c>
      <c r="X22" s="164">
        <v>0</v>
      </c>
      <c r="Y22" s="164">
        <v>0</v>
      </c>
      <c r="Z22" s="165">
        <v>0</v>
      </c>
      <c r="AA22" s="164">
        <v>832.3</v>
      </c>
      <c r="AB22" s="164">
        <v>0</v>
      </c>
      <c r="AC22" s="164">
        <v>0</v>
      </c>
      <c r="AD22" s="165">
        <v>0</v>
      </c>
      <c r="AE22" s="164">
        <v>0</v>
      </c>
      <c r="AF22" s="164"/>
      <c r="AG22" s="164"/>
    </row>
    <row r="23" spans="1:33" s="161" customFormat="1" ht="12.75">
      <c r="A23" s="156" t="s">
        <v>502</v>
      </c>
      <c r="B23" s="156" t="s">
        <v>460</v>
      </c>
      <c r="C23" s="157">
        <v>0</v>
      </c>
      <c r="D23" s="158">
        <v>0</v>
      </c>
      <c r="E23" s="158">
        <v>0</v>
      </c>
      <c r="F23" s="159">
        <v>0</v>
      </c>
      <c r="G23" s="157">
        <v>0</v>
      </c>
      <c r="H23" s="158">
        <v>0</v>
      </c>
      <c r="I23" s="158">
        <v>407.5</v>
      </c>
      <c r="J23" s="159">
        <v>407.5</v>
      </c>
      <c r="K23" s="158">
        <v>0</v>
      </c>
      <c r="L23" s="158">
        <v>0</v>
      </c>
      <c r="M23" s="158">
        <v>263.5</v>
      </c>
      <c r="N23" s="158">
        <v>263.5</v>
      </c>
      <c r="O23" s="157">
        <v>0</v>
      </c>
      <c r="P23" s="158">
        <v>0</v>
      </c>
      <c r="Q23" s="158">
        <v>369</v>
      </c>
      <c r="R23" s="159">
        <v>369</v>
      </c>
      <c r="S23" s="164">
        <v>0</v>
      </c>
      <c r="T23" s="164">
        <v>0</v>
      </c>
      <c r="U23" s="164">
        <v>446.4</v>
      </c>
      <c r="V23" s="164">
        <v>446.4</v>
      </c>
      <c r="W23" s="163">
        <v>0</v>
      </c>
      <c r="X23" s="164">
        <v>271.50000000000006</v>
      </c>
      <c r="Y23" s="164">
        <v>439.1</v>
      </c>
      <c r="Z23" s="165">
        <v>439.1</v>
      </c>
      <c r="AA23" s="164">
        <v>0</v>
      </c>
      <c r="AB23" s="164">
        <v>0</v>
      </c>
      <c r="AC23" s="164">
        <v>476.59999999999997</v>
      </c>
      <c r="AD23" s="165">
        <v>389.1</v>
      </c>
      <c r="AE23" s="164">
        <v>0</v>
      </c>
      <c r="AF23" s="164"/>
      <c r="AG23" s="164"/>
    </row>
    <row r="24" spans="1:33" s="161" customFormat="1" ht="12.75">
      <c r="A24" s="156" t="s">
        <v>514</v>
      </c>
      <c r="B24" s="156" t="s">
        <v>461</v>
      </c>
      <c r="C24" s="157">
        <v>25.9</v>
      </c>
      <c r="D24" s="158">
        <v>28.9</v>
      </c>
      <c r="E24" s="158">
        <v>1.7</v>
      </c>
      <c r="F24" s="159">
        <v>1.7</v>
      </c>
      <c r="G24" s="157">
        <v>1.7</v>
      </c>
      <c r="H24" s="158">
        <v>1.7</v>
      </c>
      <c r="I24" s="158">
        <v>1.8</v>
      </c>
      <c r="J24" s="159">
        <v>2.3</v>
      </c>
      <c r="K24" s="158">
        <v>2.3</v>
      </c>
      <c r="L24" s="158">
        <v>2.3</v>
      </c>
      <c r="M24" s="158">
        <v>2.3</v>
      </c>
      <c r="N24" s="158">
        <v>2.3</v>
      </c>
      <c r="O24" s="157">
        <v>2.3</v>
      </c>
      <c r="P24" s="158">
        <v>2.3</v>
      </c>
      <c r="Q24" s="158">
        <v>2.4</v>
      </c>
      <c r="R24" s="159">
        <v>2.3</v>
      </c>
      <c r="S24" s="164">
        <v>2.3</v>
      </c>
      <c r="T24" s="164">
        <v>2.3</v>
      </c>
      <c r="U24" s="164">
        <v>2.3</v>
      </c>
      <c r="V24" s="164">
        <v>2.3</v>
      </c>
      <c r="W24" s="163">
        <v>2.3</v>
      </c>
      <c r="X24" s="164">
        <v>2.3</v>
      </c>
      <c r="Y24" s="164">
        <v>2.2999999999999994</v>
      </c>
      <c r="Z24" s="165">
        <v>2.3</v>
      </c>
      <c r="AA24" s="164">
        <v>2.3</v>
      </c>
      <c r="AB24" s="164">
        <v>2.3000000000000003</v>
      </c>
      <c r="AC24" s="164">
        <v>2.2999999999999994</v>
      </c>
      <c r="AD24" s="165">
        <v>2.3000000000000003</v>
      </c>
      <c r="AE24" s="164" t="s">
        <v>415</v>
      </c>
      <c r="AF24" s="164"/>
      <c r="AG24" s="164"/>
    </row>
    <row r="25" spans="1:33" s="161" customFormat="1" ht="20.25">
      <c r="A25" s="162" t="s">
        <v>496</v>
      </c>
      <c r="B25" s="162" t="s">
        <v>462</v>
      </c>
      <c r="C25" s="157">
        <v>0</v>
      </c>
      <c r="D25" s="158">
        <v>-65.10000000000001</v>
      </c>
      <c r="E25" s="158">
        <v>-76.9</v>
      </c>
      <c r="F25" s="159">
        <v>-149.6</v>
      </c>
      <c r="G25" s="157">
        <v>-163.5</v>
      </c>
      <c r="H25" s="158">
        <v>-240.5</v>
      </c>
      <c r="I25" s="158">
        <v>-133.9</v>
      </c>
      <c r="J25" s="159">
        <v>-105.7</v>
      </c>
      <c r="K25" s="158">
        <v>-124.8</v>
      </c>
      <c r="L25" s="158">
        <v>-63.3</v>
      </c>
      <c r="M25" s="158">
        <v>-39.6</v>
      </c>
      <c r="N25" s="158">
        <v>-5.2</v>
      </c>
      <c r="O25" s="157">
        <v>0</v>
      </c>
      <c r="P25" s="158">
        <v>-3.9</v>
      </c>
      <c r="Q25" s="158">
        <v>0</v>
      </c>
      <c r="R25" s="159">
        <v>0</v>
      </c>
      <c r="S25" s="164">
        <v>-50</v>
      </c>
      <c r="T25" s="164">
        <v>0</v>
      </c>
      <c r="U25" s="164">
        <v>-11.3</v>
      </c>
      <c r="V25" s="164">
        <v>-16</v>
      </c>
      <c r="W25" s="163">
        <v>-1.3</v>
      </c>
      <c r="X25" s="164">
        <v>-5.5</v>
      </c>
      <c r="Y25" s="164">
        <v>-1.6</v>
      </c>
      <c r="Z25" s="165">
        <v>-2</v>
      </c>
      <c r="AA25" s="164">
        <v>-2.1</v>
      </c>
      <c r="AB25" s="164">
        <v>-51.6</v>
      </c>
      <c r="AC25" s="164">
        <v>-28.2</v>
      </c>
      <c r="AD25" s="165">
        <v>-25.3</v>
      </c>
      <c r="AE25" s="164">
        <v>-19.8</v>
      </c>
      <c r="AF25" s="164"/>
      <c r="AG25" s="164"/>
    </row>
    <row r="26" spans="1:33" s="161" customFormat="1" ht="12.75">
      <c r="A26" s="162" t="s">
        <v>525</v>
      </c>
      <c r="B26" s="162" t="s">
        <v>463</v>
      </c>
      <c r="C26" s="157">
        <v>52.1</v>
      </c>
      <c r="D26" s="158">
        <v>53.7</v>
      </c>
      <c r="E26" s="158">
        <v>64.4</v>
      </c>
      <c r="F26" s="159">
        <v>58</v>
      </c>
      <c r="G26" s="163">
        <v>-45.3</v>
      </c>
      <c r="H26" s="164" t="s">
        <v>415</v>
      </c>
      <c r="I26" s="164" t="s">
        <v>415</v>
      </c>
      <c r="J26" s="165" t="s">
        <v>415</v>
      </c>
      <c r="K26" s="164" t="s">
        <v>415</v>
      </c>
      <c r="L26" s="164" t="s">
        <v>415</v>
      </c>
      <c r="M26" s="164" t="s">
        <v>415</v>
      </c>
      <c r="N26" s="164" t="s">
        <v>415</v>
      </c>
      <c r="O26" s="163" t="s">
        <v>415</v>
      </c>
      <c r="P26" s="164" t="s">
        <v>415</v>
      </c>
      <c r="Q26" s="164" t="s">
        <v>415</v>
      </c>
      <c r="R26" s="165" t="s">
        <v>415</v>
      </c>
      <c r="S26" s="164" t="s">
        <v>415</v>
      </c>
      <c r="T26" s="164" t="s">
        <v>415</v>
      </c>
      <c r="U26" s="164" t="s">
        <v>415</v>
      </c>
      <c r="V26" s="165" t="s">
        <v>415</v>
      </c>
      <c r="W26" s="164" t="s">
        <v>415</v>
      </c>
      <c r="X26" s="164" t="s">
        <v>415</v>
      </c>
      <c r="Y26" s="164" t="s">
        <v>415</v>
      </c>
      <c r="Z26" s="165" t="s">
        <v>415</v>
      </c>
      <c r="AA26" s="164" t="s">
        <v>415</v>
      </c>
      <c r="AB26" s="164" t="s">
        <v>415</v>
      </c>
      <c r="AC26" s="164" t="s">
        <v>415</v>
      </c>
      <c r="AD26" s="165" t="s">
        <v>415</v>
      </c>
      <c r="AE26" s="164" t="s">
        <v>415</v>
      </c>
      <c r="AF26" s="164"/>
      <c r="AG26" s="164"/>
    </row>
    <row r="27" spans="1:33" s="306" customFormat="1" ht="12.75">
      <c r="A27" s="152" t="s">
        <v>688</v>
      </c>
      <c r="B27" s="296" t="s">
        <v>687</v>
      </c>
      <c r="C27" s="153">
        <f aca="true" t="shared" si="2" ref="C27:Q27">SUM(C28)</f>
        <v>24.1</v>
      </c>
      <c r="D27" s="154">
        <f t="shared" si="2"/>
        <v>0</v>
      </c>
      <c r="E27" s="154">
        <f t="shared" si="2"/>
        <v>0</v>
      </c>
      <c r="F27" s="155">
        <f t="shared" si="2"/>
        <v>0</v>
      </c>
      <c r="G27" s="153">
        <f t="shared" si="2"/>
        <v>9.7</v>
      </c>
      <c r="H27" s="154">
        <f t="shared" si="2"/>
        <v>0.9</v>
      </c>
      <c r="I27" s="154">
        <f t="shared" si="2"/>
        <v>3.9</v>
      </c>
      <c r="J27" s="155">
        <f t="shared" si="2"/>
        <v>4.7</v>
      </c>
      <c r="K27" s="154">
        <f t="shared" si="2"/>
        <v>3.4</v>
      </c>
      <c r="L27" s="154">
        <f t="shared" si="2"/>
        <v>1.8</v>
      </c>
      <c r="M27" s="154">
        <f t="shared" si="2"/>
        <v>1.8</v>
      </c>
      <c r="N27" s="154">
        <f t="shared" si="2"/>
        <v>2.8</v>
      </c>
      <c r="O27" s="153">
        <f t="shared" si="2"/>
        <v>2.7</v>
      </c>
      <c r="P27" s="154">
        <f t="shared" si="2"/>
        <v>0</v>
      </c>
      <c r="Q27" s="154">
        <f t="shared" si="2"/>
        <v>31.7</v>
      </c>
      <c r="R27" s="155">
        <f>SUM(R28)</f>
        <v>8.1</v>
      </c>
      <c r="S27" s="321">
        <f>SUM(S28)</f>
        <v>3.8</v>
      </c>
      <c r="T27" s="321">
        <f>SUM(T28)</f>
        <v>44.6</v>
      </c>
      <c r="U27" s="321">
        <f>SUM(U28)</f>
        <v>16.8</v>
      </c>
      <c r="V27" s="321">
        <f>SUM(V28)</f>
        <v>33.3</v>
      </c>
      <c r="W27" s="309">
        <f aca="true" t="shared" si="3" ref="W27:AE27">SUM(W28)</f>
        <v>100</v>
      </c>
      <c r="X27" s="321">
        <f t="shared" si="3"/>
        <v>127.3</v>
      </c>
      <c r="Y27" s="321">
        <f t="shared" si="3"/>
        <v>289</v>
      </c>
      <c r="Z27" s="322">
        <f t="shared" si="3"/>
        <v>585.4</v>
      </c>
      <c r="AA27" s="321">
        <f t="shared" si="3"/>
        <v>418.8</v>
      </c>
      <c r="AB27" s="321">
        <f t="shared" si="3"/>
        <v>295.2</v>
      </c>
      <c r="AC27" s="321">
        <f t="shared" si="3"/>
        <v>212</v>
      </c>
      <c r="AD27" s="322">
        <f t="shared" si="3"/>
        <v>295.3</v>
      </c>
      <c r="AE27" s="321">
        <f t="shared" si="3"/>
        <v>0</v>
      </c>
      <c r="AF27" s="321"/>
      <c r="AG27" s="321"/>
    </row>
    <row r="28" spans="1:33" s="161" customFormat="1" ht="20.25">
      <c r="A28" s="162" t="s">
        <v>496</v>
      </c>
      <c r="B28" s="162" t="s">
        <v>464</v>
      </c>
      <c r="C28" s="157">
        <v>24.1</v>
      </c>
      <c r="D28" s="158">
        <v>0</v>
      </c>
      <c r="E28" s="158">
        <v>0</v>
      </c>
      <c r="F28" s="159">
        <v>0</v>
      </c>
      <c r="G28" s="157">
        <v>9.7</v>
      </c>
      <c r="H28" s="158">
        <v>0.9</v>
      </c>
      <c r="I28" s="158">
        <v>3.9</v>
      </c>
      <c r="J28" s="159">
        <v>4.7</v>
      </c>
      <c r="K28" s="158">
        <v>3.4</v>
      </c>
      <c r="L28" s="158">
        <v>1.8</v>
      </c>
      <c r="M28" s="158">
        <v>1.8</v>
      </c>
      <c r="N28" s="158">
        <v>2.8</v>
      </c>
      <c r="O28" s="157">
        <v>2.7</v>
      </c>
      <c r="P28" s="158">
        <v>0</v>
      </c>
      <c r="Q28" s="158">
        <v>31.7</v>
      </c>
      <c r="R28" s="159">
        <v>8.1</v>
      </c>
      <c r="S28" s="164">
        <v>3.8</v>
      </c>
      <c r="T28" s="164">
        <v>44.6</v>
      </c>
      <c r="U28" s="164">
        <v>16.8</v>
      </c>
      <c r="V28" s="164">
        <v>33.3</v>
      </c>
      <c r="W28" s="163">
        <v>100</v>
      </c>
      <c r="X28" s="164">
        <v>127.3</v>
      </c>
      <c r="Y28" s="164">
        <v>289</v>
      </c>
      <c r="Z28" s="165">
        <v>585.4</v>
      </c>
      <c r="AA28" s="164">
        <v>418.8</v>
      </c>
      <c r="AB28" s="164">
        <v>295.2</v>
      </c>
      <c r="AC28" s="164">
        <v>212</v>
      </c>
      <c r="AD28" s="165">
        <v>295.3</v>
      </c>
      <c r="AE28" s="164" t="s">
        <v>415</v>
      </c>
      <c r="AF28" s="164"/>
      <c r="AG28" s="164"/>
    </row>
    <row r="29" spans="1:33" s="306" customFormat="1" ht="12.75">
      <c r="A29" s="166" t="s">
        <v>689</v>
      </c>
      <c r="B29" s="297" t="s">
        <v>654</v>
      </c>
      <c r="C29" s="167">
        <f aca="true" t="shared" si="4" ref="C29:AD29">SUM(C30:C40)</f>
        <v>756.8000000000001</v>
      </c>
      <c r="D29" s="168">
        <f t="shared" si="4"/>
        <v>335.2000000000004</v>
      </c>
      <c r="E29" s="168">
        <f t="shared" si="4"/>
        <v>533.2000000000003</v>
      </c>
      <c r="F29" s="169">
        <f t="shared" si="4"/>
        <v>630.7000000000003</v>
      </c>
      <c r="G29" s="167">
        <f t="shared" si="4"/>
        <v>435</v>
      </c>
      <c r="H29" s="168">
        <f t="shared" si="4"/>
        <v>438.5999999999999</v>
      </c>
      <c r="I29" s="168">
        <f t="shared" si="4"/>
        <v>221.69999999999987</v>
      </c>
      <c r="J29" s="169">
        <f t="shared" si="4"/>
        <v>136.3999999999998</v>
      </c>
      <c r="K29" s="168">
        <f t="shared" si="4"/>
        <v>177.5999999999998</v>
      </c>
      <c r="L29" s="168">
        <f t="shared" si="4"/>
        <v>337.19999999999976</v>
      </c>
      <c r="M29" s="168">
        <f t="shared" si="4"/>
        <v>276.6999999999997</v>
      </c>
      <c r="N29" s="168">
        <f t="shared" si="4"/>
        <v>398.49999999999943</v>
      </c>
      <c r="O29" s="167">
        <f t="shared" si="4"/>
        <v>308.9</v>
      </c>
      <c r="P29" s="168">
        <f t="shared" si="4"/>
        <v>463.9</v>
      </c>
      <c r="Q29" s="168">
        <f t="shared" si="4"/>
        <v>308.5999999999999</v>
      </c>
      <c r="R29" s="169">
        <f t="shared" si="4"/>
        <v>453.4999999999999</v>
      </c>
      <c r="S29" s="323">
        <f t="shared" si="4"/>
        <v>447.9999999999999</v>
      </c>
      <c r="T29" s="323">
        <f t="shared" si="4"/>
        <v>525.8999999999999</v>
      </c>
      <c r="U29" s="323">
        <f t="shared" si="4"/>
        <v>360.5999999999997</v>
      </c>
      <c r="V29" s="323">
        <f t="shared" si="4"/>
        <v>565.4999999999997</v>
      </c>
      <c r="W29" s="324">
        <f t="shared" si="4"/>
        <v>393.50000000000006</v>
      </c>
      <c r="X29" s="323">
        <f t="shared" si="4"/>
        <v>325.5</v>
      </c>
      <c r="Y29" s="323">
        <f t="shared" si="4"/>
        <v>437.89999999999986</v>
      </c>
      <c r="Z29" s="325">
        <f t="shared" si="4"/>
        <v>850.8</v>
      </c>
      <c r="AA29" s="323">
        <f t="shared" si="4"/>
        <v>727</v>
      </c>
      <c r="AB29" s="323">
        <f t="shared" si="4"/>
        <v>794.3</v>
      </c>
      <c r="AC29" s="323">
        <f t="shared" si="4"/>
        <v>515.2</v>
      </c>
      <c r="AD29" s="325">
        <f t="shared" si="4"/>
        <v>872.8</v>
      </c>
      <c r="AE29" s="323">
        <f>SUM(AE30:AE40)</f>
        <v>1841.6</v>
      </c>
      <c r="AF29" s="323">
        <v>1707.8</v>
      </c>
      <c r="AG29" s="323">
        <v>2441.8</v>
      </c>
    </row>
    <row r="30" spans="1:33" s="161" customFormat="1" ht="12.75">
      <c r="A30" s="156" t="s">
        <v>498</v>
      </c>
      <c r="B30" s="156" t="s">
        <v>465</v>
      </c>
      <c r="C30" s="157">
        <v>-2</v>
      </c>
      <c r="D30" s="158">
        <v>1.4210854715202004E-14</v>
      </c>
      <c r="E30" s="158">
        <v>0</v>
      </c>
      <c r="F30" s="159">
        <v>0</v>
      </c>
      <c r="G30" s="157">
        <v>9.899999999999995</v>
      </c>
      <c r="H30" s="158">
        <v>0.5000000000000057</v>
      </c>
      <c r="I30" s="158">
        <v>2.5</v>
      </c>
      <c r="J30" s="159">
        <v>0</v>
      </c>
      <c r="K30" s="158">
        <v>2.1999999999999944</v>
      </c>
      <c r="L30" s="158">
        <v>1.2</v>
      </c>
      <c r="M30" s="158">
        <v>1.2</v>
      </c>
      <c r="N30" s="158">
        <v>1.0000000000000004</v>
      </c>
      <c r="O30" s="157">
        <v>44.8</v>
      </c>
      <c r="P30" s="158">
        <v>0</v>
      </c>
      <c r="Q30" s="158">
        <v>11.2</v>
      </c>
      <c r="R30" s="159">
        <v>0.5</v>
      </c>
      <c r="S30" s="164">
        <v>0</v>
      </c>
      <c r="T30" s="164">
        <v>1</v>
      </c>
      <c r="U30" s="164">
        <v>0.5999999999999979</v>
      </c>
      <c r="V30" s="164">
        <v>3.4999999999999574</v>
      </c>
      <c r="W30" s="163">
        <v>0.7999999999999972</v>
      </c>
      <c r="X30" s="164">
        <v>1.6000000000000085</v>
      </c>
      <c r="Y30" s="164">
        <v>3.4999999999999774</v>
      </c>
      <c r="Z30" s="165">
        <v>7.2999999999999545</v>
      </c>
      <c r="AA30" s="164">
        <v>5.2</v>
      </c>
      <c r="AB30" s="164">
        <v>3.6</v>
      </c>
      <c r="AC30" s="164">
        <v>2.600000000000005</v>
      </c>
      <c r="AD30" s="165">
        <v>3.7</v>
      </c>
      <c r="AE30" s="164">
        <v>240.00000000000003</v>
      </c>
      <c r="AF30" s="164"/>
      <c r="AG30" s="164"/>
    </row>
    <row r="31" spans="1:33" s="161" customFormat="1" ht="12.75">
      <c r="A31" s="156" t="s">
        <v>499</v>
      </c>
      <c r="B31" s="156" t="s">
        <v>466</v>
      </c>
      <c r="C31" s="163" t="s">
        <v>415</v>
      </c>
      <c r="D31" s="164" t="s">
        <v>415</v>
      </c>
      <c r="E31" s="164" t="s">
        <v>415</v>
      </c>
      <c r="F31" s="165" t="s">
        <v>415</v>
      </c>
      <c r="G31" s="157">
        <v>57.8</v>
      </c>
      <c r="H31" s="158">
        <v>50.8</v>
      </c>
      <c r="I31" s="158">
        <v>50.2</v>
      </c>
      <c r="J31" s="159">
        <v>52.9</v>
      </c>
      <c r="K31" s="158">
        <v>52.9</v>
      </c>
      <c r="L31" s="158">
        <v>52.8</v>
      </c>
      <c r="M31" s="158">
        <v>52.8</v>
      </c>
      <c r="N31" s="158">
        <v>51.1</v>
      </c>
      <c r="O31" s="157">
        <v>51.1</v>
      </c>
      <c r="P31" s="158">
        <v>51.1</v>
      </c>
      <c r="Q31" s="158">
        <v>51.5</v>
      </c>
      <c r="R31" s="159">
        <v>47.4</v>
      </c>
      <c r="S31" s="164">
        <v>45.9</v>
      </c>
      <c r="T31" s="164">
        <v>45.7</v>
      </c>
      <c r="U31" s="164">
        <v>44.7</v>
      </c>
      <c r="V31" s="164">
        <v>39.3</v>
      </c>
      <c r="W31" s="163">
        <v>38.6</v>
      </c>
      <c r="X31" s="164">
        <v>38.1</v>
      </c>
      <c r="Y31" s="164">
        <v>38</v>
      </c>
      <c r="Z31" s="165">
        <v>42</v>
      </c>
      <c r="AA31" s="164">
        <v>42</v>
      </c>
      <c r="AB31" s="164">
        <v>41.6</v>
      </c>
      <c r="AC31" s="164">
        <v>41.4</v>
      </c>
      <c r="AD31" s="165">
        <v>43.2</v>
      </c>
      <c r="AE31" s="164">
        <v>41.7</v>
      </c>
      <c r="AF31" s="164"/>
      <c r="AG31" s="164"/>
    </row>
    <row r="32" spans="1:33" s="161" customFormat="1" ht="12.75">
      <c r="A32" s="156" t="s">
        <v>500</v>
      </c>
      <c r="B32" s="156" t="s">
        <v>467</v>
      </c>
      <c r="C32" s="157">
        <v>0</v>
      </c>
      <c r="D32" s="158">
        <v>0</v>
      </c>
      <c r="E32" s="158">
        <v>0</v>
      </c>
      <c r="F32" s="159">
        <v>0</v>
      </c>
      <c r="G32" s="157">
        <v>0</v>
      </c>
      <c r="H32" s="158">
        <v>-20.2</v>
      </c>
      <c r="I32" s="158">
        <v>2.1</v>
      </c>
      <c r="J32" s="159">
        <v>45.6</v>
      </c>
      <c r="K32" s="158">
        <v>41.7</v>
      </c>
      <c r="L32" s="158">
        <v>19.7</v>
      </c>
      <c r="M32" s="158">
        <v>11.9</v>
      </c>
      <c r="N32" s="158">
        <v>-1</v>
      </c>
      <c r="O32" s="157">
        <v>18.9</v>
      </c>
      <c r="P32" s="158">
        <v>26</v>
      </c>
      <c r="Q32" s="158">
        <v>34.1</v>
      </c>
      <c r="R32" s="159">
        <v>0.4</v>
      </c>
      <c r="S32" s="164">
        <v>-28.2</v>
      </c>
      <c r="T32" s="164">
        <v>7.800000000000001</v>
      </c>
      <c r="U32" s="164">
        <v>67.4</v>
      </c>
      <c r="V32" s="164">
        <v>58.2</v>
      </c>
      <c r="W32" s="163">
        <v>49</v>
      </c>
      <c r="X32" s="164">
        <v>82.7</v>
      </c>
      <c r="Y32" s="164">
        <v>154.7</v>
      </c>
      <c r="Z32" s="165">
        <v>367</v>
      </c>
      <c r="AA32" s="164">
        <v>375.8</v>
      </c>
      <c r="AB32" s="164">
        <v>227.6</v>
      </c>
      <c r="AC32" s="164">
        <v>191.1</v>
      </c>
      <c r="AD32" s="165">
        <v>205.5</v>
      </c>
      <c r="AE32" s="164">
        <v>262.7</v>
      </c>
      <c r="AF32" s="164"/>
      <c r="AG32" s="164"/>
    </row>
    <row r="33" spans="1:33" s="161" customFormat="1" ht="12.75">
      <c r="A33" s="156" t="s">
        <v>652</v>
      </c>
      <c r="B33" s="156" t="s">
        <v>653</v>
      </c>
      <c r="C33" s="157">
        <v>0</v>
      </c>
      <c r="D33" s="158">
        <v>0</v>
      </c>
      <c r="E33" s="158">
        <v>0</v>
      </c>
      <c r="F33" s="159">
        <v>0</v>
      </c>
      <c r="G33" s="157">
        <v>0</v>
      </c>
      <c r="H33" s="158">
        <v>0</v>
      </c>
      <c r="I33" s="158">
        <v>0</v>
      </c>
      <c r="J33" s="159">
        <v>0</v>
      </c>
      <c r="K33" s="158">
        <v>0</v>
      </c>
      <c r="L33" s="158">
        <v>0</v>
      </c>
      <c r="M33" s="158">
        <v>0</v>
      </c>
      <c r="N33" s="158">
        <v>0</v>
      </c>
      <c r="O33" s="157">
        <v>0</v>
      </c>
      <c r="P33" s="158">
        <v>0</v>
      </c>
      <c r="Q33" s="158">
        <v>0</v>
      </c>
      <c r="R33" s="159">
        <v>0</v>
      </c>
      <c r="S33" s="164">
        <v>0</v>
      </c>
      <c r="T33" s="164">
        <v>0</v>
      </c>
      <c r="U33" s="164">
        <v>0</v>
      </c>
      <c r="V33" s="164">
        <v>0</v>
      </c>
      <c r="W33" s="163">
        <v>0</v>
      </c>
      <c r="X33" s="164">
        <v>0</v>
      </c>
      <c r="Y33" s="164">
        <v>0</v>
      </c>
      <c r="Z33" s="165">
        <v>0</v>
      </c>
      <c r="AA33" s="164">
        <v>0.4</v>
      </c>
      <c r="AB33" s="164">
        <v>0.4</v>
      </c>
      <c r="AC33" s="164">
        <v>0.4</v>
      </c>
      <c r="AD33" s="165">
        <v>1.9</v>
      </c>
      <c r="AE33" s="164">
        <v>1.9000000000000001</v>
      </c>
      <c r="AF33" s="164"/>
      <c r="AG33" s="164"/>
    </row>
    <row r="34" spans="1:33" s="161" customFormat="1" ht="12.75">
      <c r="A34" s="156" t="s">
        <v>501</v>
      </c>
      <c r="B34" s="156" t="s">
        <v>468</v>
      </c>
      <c r="C34" s="157">
        <v>0</v>
      </c>
      <c r="D34" s="158">
        <v>0</v>
      </c>
      <c r="E34" s="158">
        <v>0</v>
      </c>
      <c r="F34" s="159">
        <v>0</v>
      </c>
      <c r="G34" s="157">
        <v>0</v>
      </c>
      <c r="H34" s="158">
        <v>0</v>
      </c>
      <c r="I34" s="158">
        <v>0</v>
      </c>
      <c r="J34" s="159">
        <v>0</v>
      </c>
      <c r="K34" s="158">
        <v>0</v>
      </c>
      <c r="L34" s="158">
        <v>0</v>
      </c>
      <c r="M34" s="158">
        <v>0</v>
      </c>
      <c r="N34" s="158">
        <v>15.8</v>
      </c>
      <c r="O34" s="157">
        <v>16.6</v>
      </c>
      <c r="P34" s="158">
        <v>17.8</v>
      </c>
      <c r="Q34" s="158">
        <v>19.4</v>
      </c>
      <c r="R34" s="159">
        <v>21.1</v>
      </c>
      <c r="S34" s="164">
        <v>22.7</v>
      </c>
      <c r="T34" s="164">
        <v>25</v>
      </c>
      <c r="U34" s="164">
        <v>27.8</v>
      </c>
      <c r="V34" s="164">
        <v>30.8</v>
      </c>
      <c r="W34" s="163">
        <v>33.6</v>
      </c>
      <c r="X34" s="164">
        <v>35.5</v>
      </c>
      <c r="Y34" s="164">
        <v>38.5</v>
      </c>
      <c r="Z34" s="165">
        <v>41.3</v>
      </c>
      <c r="AA34" s="164">
        <v>43.9</v>
      </c>
      <c r="AB34" s="164">
        <v>44.5</v>
      </c>
      <c r="AC34" s="164">
        <v>45.3</v>
      </c>
      <c r="AD34" s="165">
        <v>46.1</v>
      </c>
      <c r="AE34" s="164">
        <v>47</v>
      </c>
      <c r="AF34" s="164"/>
      <c r="AG34" s="164"/>
    </row>
    <row r="35" spans="1:33" s="161" customFormat="1" ht="12.75">
      <c r="A35" s="156" t="s">
        <v>502</v>
      </c>
      <c r="B35" s="156" t="s">
        <v>469</v>
      </c>
      <c r="C35" s="157">
        <v>167.40000000000012</v>
      </c>
      <c r="D35" s="158">
        <v>335.2000000000004</v>
      </c>
      <c r="E35" s="158">
        <v>533.2000000000003</v>
      </c>
      <c r="F35" s="159">
        <v>630.7000000000003</v>
      </c>
      <c r="G35" s="157">
        <v>215.10000000000002</v>
      </c>
      <c r="H35" s="158">
        <v>407.4999999999999</v>
      </c>
      <c r="I35" s="158">
        <v>166.89999999999986</v>
      </c>
      <c r="J35" s="159">
        <v>37.89999999999981</v>
      </c>
      <c r="K35" s="158">
        <v>80.79999999999981</v>
      </c>
      <c r="L35" s="158">
        <v>263.4999999999998</v>
      </c>
      <c r="M35" s="158">
        <v>210.79999999999967</v>
      </c>
      <c r="N35" s="158">
        <v>331.59999999999945</v>
      </c>
      <c r="O35" s="157">
        <v>177.49999999999997</v>
      </c>
      <c r="P35" s="158">
        <v>369</v>
      </c>
      <c r="Q35" s="158">
        <v>192.39999999999986</v>
      </c>
      <c r="R35" s="159">
        <v>384.0999999999999</v>
      </c>
      <c r="S35" s="164">
        <v>212.49999999999986</v>
      </c>
      <c r="T35" s="164">
        <v>446.3999999999998</v>
      </c>
      <c r="U35" s="164">
        <v>220.09999999999968</v>
      </c>
      <c r="V35" s="164">
        <v>433.6999999999997</v>
      </c>
      <c r="W35" s="163">
        <v>271.50000000000006</v>
      </c>
      <c r="X35" s="164">
        <v>167.59999999999997</v>
      </c>
      <c r="Y35" s="164">
        <v>203.19999999999993</v>
      </c>
      <c r="Z35" s="165">
        <v>393.19999999999993</v>
      </c>
      <c r="AA35" s="164">
        <v>259.7</v>
      </c>
      <c r="AB35" s="164">
        <v>476.59999999999997</v>
      </c>
      <c r="AC35" s="164">
        <v>234.40000000000003</v>
      </c>
      <c r="AD35" s="165">
        <v>0</v>
      </c>
      <c r="AE35" s="164">
        <v>254.60000000000002</v>
      </c>
      <c r="AF35" s="164"/>
      <c r="AG35" s="164"/>
    </row>
    <row r="36" spans="1:33" s="161" customFormat="1" ht="12.75">
      <c r="A36" s="156" t="s">
        <v>690</v>
      </c>
      <c r="B36" s="156" t="s">
        <v>470</v>
      </c>
      <c r="C36" s="157">
        <v>0</v>
      </c>
      <c r="D36" s="158">
        <v>0</v>
      </c>
      <c r="E36" s="158">
        <v>0</v>
      </c>
      <c r="F36" s="159">
        <v>0</v>
      </c>
      <c r="G36" s="157">
        <v>152.2</v>
      </c>
      <c r="H36" s="158">
        <v>0</v>
      </c>
      <c r="I36" s="158">
        <v>0</v>
      </c>
      <c r="J36" s="159">
        <v>0</v>
      </c>
      <c r="K36" s="157">
        <v>0</v>
      </c>
      <c r="L36" s="158">
        <v>0</v>
      </c>
      <c r="M36" s="158">
        <v>0</v>
      </c>
      <c r="N36" s="159">
        <v>0</v>
      </c>
      <c r="O36" s="157">
        <v>0</v>
      </c>
      <c r="P36" s="158">
        <v>0</v>
      </c>
      <c r="Q36" s="158">
        <v>0</v>
      </c>
      <c r="R36" s="159">
        <v>0</v>
      </c>
      <c r="S36" s="163">
        <v>195.1</v>
      </c>
      <c r="T36" s="164">
        <v>0</v>
      </c>
      <c r="U36" s="164">
        <v>0</v>
      </c>
      <c r="V36" s="165">
        <v>0</v>
      </c>
      <c r="W36" s="163">
        <v>0</v>
      </c>
      <c r="X36" s="164">
        <v>0</v>
      </c>
      <c r="Y36" s="164">
        <v>0</v>
      </c>
      <c r="Z36" s="165">
        <v>0</v>
      </c>
      <c r="AA36" s="163">
        <v>0</v>
      </c>
      <c r="AB36" s="164">
        <v>0</v>
      </c>
      <c r="AC36" s="164">
        <v>0</v>
      </c>
      <c r="AD36" s="165">
        <v>572.4</v>
      </c>
      <c r="AE36" s="163" t="s">
        <v>415</v>
      </c>
      <c r="AF36" s="164"/>
      <c r="AG36" s="164"/>
    </row>
    <row r="37" spans="1:33" s="161" customFormat="1" ht="12.75">
      <c r="A37" s="156" t="s">
        <v>686</v>
      </c>
      <c r="B37" s="156" t="s">
        <v>471</v>
      </c>
      <c r="C37" s="157">
        <v>591.4</v>
      </c>
      <c r="D37" s="164" t="s">
        <v>415</v>
      </c>
      <c r="E37" s="164" t="s">
        <v>415</v>
      </c>
      <c r="F37" s="165" t="s">
        <v>415</v>
      </c>
      <c r="G37" s="157" t="s">
        <v>415</v>
      </c>
      <c r="H37" s="158" t="s">
        <v>415</v>
      </c>
      <c r="I37" s="158" t="s">
        <v>415</v>
      </c>
      <c r="J37" s="159" t="s">
        <v>415</v>
      </c>
      <c r="K37" s="157" t="s">
        <v>415</v>
      </c>
      <c r="L37" s="158" t="s">
        <v>415</v>
      </c>
      <c r="M37" s="158" t="s">
        <v>415</v>
      </c>
      <c r="N37" s="159" t="s">
        <v>415</v>
      </c>
      <c r="O37" s="157" t="s">
        <v>415</v>
      </c>
      <c r="P37" s="158" t="s">
        <v>415</v>
      </c>
      <c r="Q37" s="158" t="s">
        <v>415</v>
      </c>
      <c r="R37" s="159" t="s">
        <v>415</v>
      </c>
      <c r="S37" s="163" t="s">
        <v>415</v>
      </c>
      <c r="T37" s="164" t="s">
        <v>415</v>
      </c>
      <c r="U37" s="164" t="s">
        <v>415</v>
      </c>
      <c r="V37" s="165" t="s">
        <v>415</v>
      </c>
      <c r="W37" s="163" t="s">
        <v>415</v>
      </c>
      <c r="X37" s="164" t="s">
        <v>415</v>
      </c>
      <c r="Y37" s="164" t="s">
        <v>415</v>
      </c>
      <c r="Z37" s="165" t="s">
        <v>415</v>
      </c>
      <c r="AA37" s="163" t="s">
        <v>415</v>
      </c>
      <c r="AB37" s="164" t="s">
        <v>415</v>
      </c>
      <c r="AC37" s="164" t="s">
        <v>415</v>
      </c>
      <c r="AD37" s="165" t="s">
        <v>415</v>
      </c>
      <c r="AE37" s="163">
        <v>961.5</v>
      </c>
      <c r="AF37" s="164"/>
      <c r="AG37" s="164"/>
    </row>
    <row r="38" spans="1:33" s="161" customFormat="1" ht="12.75">
      <c r="A38" s="339" t="s">
        <v>711</v>
      </c>
      <c r="B38" s="156" t="s">
        <v>457</v>
      </c>
      <c r="C38" s="157"/>
      <c r="D38" s="164"/>
      <c r="E38" s="164"/>
      <c r="F38" s="165"/>
      <c r="G38" s="157"/>
      <c r="H38" s="158"/>
      <c r="I38" s="158"/>
      <c r="J38" s="159"/>
      <c r="K38" s="157"/>
      <c r="L38" s="158"/>
      <c r="M38" s="158"/>
      <c r="N38" s="159"/>
      <c r="O38" s="157"/>
      <c r="P38" s="158"/>
      <c r="Q38" s="158"/>
      <c r="R38" s="159"/>
      <c r="S38" s="163"/>
      <c r="T38" s="164"/>
      <c r="U38" s="164"/>
      <c r="V38" s="165"/>
      <c r="W38" s="163"/>
      <c r="X38" s="164"/>
      <c r="Y38" s="164"/>
      <c r="Z38" s="165"/>
      <c r="AA38" s="163"/>
      <c r="AB38" s="164"/>
      <c r="AC38" s="164"/>
      <c r="AD38" s="165"/>
      <c r="AE38" s="163">
        <v>0.1</v>
      </c>
      <c r="AF38" s="164"/>
      <c r="AG38" s="164"/>
    </row>
    <row r="39" spans="1:33" s="161" customFormat="1" ht="12.75">
      <c r="A39" s="156" t="s">
        <v>495</v>
      </c>
      <c r="B39" s="156" t="s">
        <v>658</v>
      </c>
      <c r="C39" s="157"/>
      <c r="D39" s="164"/>
      <c r="E39" s="164"/>
      <c r="F39" s="165"/>
      <c r="G39" s="157"/>
      <c r="H39" s="158"/>
      <c r="I39" s="158"/>
      <c r="J39" s="159"/>
      <c r="K39" s="157"/>
      <c r="L39" s="158"/>
      <c r="M39" s="158"/>
      <c r="N39" s="159"/>
      <c r="O39" s="157"/>
      <c r="P39" s="158"/>
      <c r="Q39" s="158"/>
      <c r="R39" s="159"/>
      <c r="S39" s="163"/>
      <c r="T39" s="164"/>
      <c r="U39" s="164"/>
      <c r="V39" s="165"/>
      <c r="W39" s="163"/>
      <c r="X39" s="164"/>
      <c r="Y39" s="164"/>
      <c r="Z39" s="165"/>
      <c r="AA39" s="163"/>
      <c r="AB39" s="164"/>
      <c r="AC39" s="164"/>
      <c r="AD39" s="165"/>
      <c r="AE39" s="163">
        <v>29.8</v>
      </c>
      <c r="AF39" s="164"/>
      <c r="AG39" s="164"/>
    </row>
    <row r="40" spans="1:33" s="161" customFormat="1" ht="12.75">
      <c r="A40" s="156" t="s">
        <v>514</v>
      </c>
      <c r="B40" s="156" t="s">
        <v>461</v>
      </c>
      <c r="C40" s="163" t="s">
        <v>415</v>
      </c>
      <c r="D40" s="164" t="s">
        <v>415</v>
      </c>
      <c r="E40" s="164" t="s">
        <v>415</v>
      </c>
      <c r="F40" s="165" t="s">
        <v>415</v>
      </c>
      <c r="G40" s="157" t="s">
        <v>415</v>
      </c>
      <c r="H40" s="158" t="s">
        <v>415</v>
      </c>
      <c r="I40" s="158" t="s">
        <v>415</v>
      </c>
      <c r="J40" s="159" t="s">
        <v>415</v>
      </c>
      <c r="K40" s="157" t="s">
        <v>415</v>
      </c>
      <c r="L40" s="158" t="s">
        <v>415</v>
      </c>
      <c r="M40" s="158" t="s">
        <v>415</v>
      </c>
      <c r="N40" s="159" t="s">
        <v>415</v>
      </c>
      <c r="O40" s="157" t="s">
        <v>415</v>
      </c>
      <c r="P40" s="158" t="s">
        <v>415</v>
      </c>
      <c r="Q40" s="158" t="s">
        <v>415</v>
      </c>
      <c r="R40" s="159" t="s">
        <v>415</v>
      </c>
      <c r="S40" s="163" t="s">
        <v>415</v>
      </c>
      <c r="T40" s="164" t="s">
        <v>415</v>
      </c>
      <c r="U40" s="164" t="s">
        <v>415</v>
      </c>
      <c r="V40" s="165" t="s">
        <v>415</v>
      </c>
      <c r="W40" s="163" t="s">
        <v>415</v>
      </c>
      <c r="X40" s="164" t="s">
        <v>415</v>
      </c>
      <c r="Y40" s="164" t="s">
        <v>415</v>
      </c>
      <c r="Z40" s="165" t="s">
        <v>415</v>
      </c>
      <c r="AA40" s="163" t="s">
        <v>415</v>
      </c>
      <c r="AB40" s="164" t="s">
        <v>415</v>
      </c>
      <c r="AC40" s="164" t="s">
        <v>415</v>
      </c>
      <c r="AD40" s="165" t="s">
        <v>415</v>
      </c>
      <c r="AE40" s="163">
        <v>2.3</v>
      </c>
      <c r="AF40" s="164"/>
      <c r="AG40" s="164"/>
    </row>
    <row r="41" spans="1:33" s="306" customFormat="1" ht="12.75">
      <c r="A41" s="170" t="s">
        <v>503</v>
      </c>
      <c r="B41" s="170" t="s">
        <v>472</v>
      </c>
      <c r="C41" s="153">
        <f>SUM(C42,C46,C49)</f>
        <v>-287.59999999999997</v>
      </c>
      <c r="D41" s="154">
        <f aca="true" t="shared" si="5" ref="D41:Y41">SUM(D42,D46,D49)</f>
        <v>-310.3</v>
      </c>
      <c r="E41" s="154">
        <f t="shared" si="5"/>
        <v>-177.8</v>
      </c>
      <c r="F41" s="155">
        <f t="shared" si="5"/>
        <v>-227</v>
      </c>
      <c r="G41" s="153">
        <f t="shared" si="5"/>
        <v>-325.1</v>
      </c>
      <c r="H41" s="154">
        <f t="shared" si="5"/>
        <v>-292.6</v>
      </c>
      <c r="I41" s="154">
        <f t="shared" si="5"/>
        <v>-259.6</v>
      </c>
      <c r="J41" s="155">
        <f t="shared" si="5"/>
        <v>-276.5</v>
      </c>
      <c r="K41" s="154">
        <f t="shared" si="5"/>
        <v>-353.5</v>
      </c>
      <c r="L41" s="154">
        <f t="shared" si="5"/>
        <v>-294.3</v>
      </c>
      <c r="M41" s="154">
        <f t="shared" si="5"/>
        <v>-301.59999999999997</v>
      </c>
      <c r="N41" s="154">
        <f t="shared" si="5"/>
        <v>-301.8</v>
      </c>
      <c r="O41" s="153">
        <f t="shared" si="5"/>
        <v>-307.5</v>
      </c>
      <c r="P41" s="154">
        <f t="shared" si="5"/>
        <v>-327</v>
      </c>
      <c r="Q41" s="154">
        <f t="shared" si="5"/>
        <v>-333.6</v>
      </c>
      <c r="R41" s="155">
        <f t="shared" si="5"/>
        <v>-355.7</v>
      </c>
      <c r="S41" s="321">
        <f t="shared" si="5"/>
        <v>-319.9</v>
      </c>
      <c r="T41" s="321">
        <f t="shared" si="5"/>
        <v>-338</v>
      </c>
      <c r="U41" s="321">
        <f t="shared" si="5"/>
        <v>-355.20000000000005</v>
      </c>
      <c r="V41" s="321">
        <f t="shared" si="5"/>
        <v>-523.9999999999999</v>
      </c>
      <c r="W41" s="309">
        <f t="shared" si="5"/>
        <v>-514.1999999999999</v>
      </c>
      <c r="X41" s="321">
        <f t="shared" si="5"/>
        <v>-498.1</v>
      </c>
      <c r="Y41" s="321">
        <f t="shared" si="5"/>
        <v>-503.70000000000005</v>
      </c>
      <c r="Z41" s="322">
        <f aca="true" t="shared" si="6" ref="Z41:AE41">SUM(Z42,Z46,Z49)</f>
        <v>-488.1</v>
      </c>
      <c r="AA41" s="321">
        <f t="shared" si="6"/>
        <v>-494.9</v>
      </c>
      <c r="AB41" s="321">
        <f t="shared" si="6"/>
        <v>-486.0000000000001</v>
      </c>
      <c r="AC41" s="321">
        <f t="shared" si="6"/>
        <v>-477.20000000000016</v>
      </c>
      <c r="AD41" s="322">
        <f t="shared" si="6"/>
        <v>-469.80000000000007</v>
      </c>
      <c r="AE41" s="321">
        <f t="shared" si="6"/>
        <v>-480.6</v>
      </c>
      <c r="AF41" s="321">
        <v>-488</v>
      </c>
      <c r="AG41" s="321">
        <v>-514.0999999999999</v>
      </c>
    </row>
    <row r="42" spans="1:33" ht="12.75">
      <c r="A42" s="171" t="s">
        <v>504</v>
      </c>
      <c r="B42" s="171" t="s">
        <v>473</v>
      </c>
      <c r="C42" s="153">
        <f aca="true" t="shared" si="7" ref="C42:Q42">SUM(C43:C45)</f>
        <v>-325.7</v>
      </c>
      <c r="D42" s="154">
        <f t="shared" si="7"/>
        <v>-319.3</v>
      </c>
      <c r="E42" s="154">
        <f t="shared" si="7"/>
        <v>-319</v>
      </c>
      <c r="F42" s="155">
        <f t="shared" si="7"/>
        <v>-318.8</v>
      </c>
      <c r="G42" s="153">
        <f t="shared" si="7"/>
        <v>-346.1</v>
      </c>
      <c r="H42" s="154">
        <f t="shared" si="7"/>
        <v>-350.1</v>
      </c>
      <c r="I42" s="154">
        <f t="shared" si="7"/>
        <v>-345.6</v>
      </c>
      <c r="J42" s="155">
        <f t="shared" si="7"/>
        <v>-351.5</v>
      </c>
      <c r="K42" s="154">
        <f t="shared" si="7"/>
        <v>-350.1</v>
      </c>
      <c r="L42" s="154">
        <f t="shared" si="7"/>
        <v>-356</v>
      </c>
      <c r="M42" s="154">
        <f t="shared" si="7"/>
        <v>-354.59999999999997</v>
      </c>
      <c r="N42" s="154">
        <f t="shared" si="7"/>
        <v>-364.5</v>
      </c>
      <c r="O42" s="153">
        <f t="shared" si="7"/>
        <v>-360.2</v>
      </c>
      <c r="P42" s="154">
        <f t="shared" si="7"/>
        <v>-365.9</v>
      </c>
      <c r="Q42" s="154">
        <f t="shared" si="7"/>
        <v>-345.8</v>
      </c>
      <c r="R42" s="155">
        <f>SUM(R43:R45)</f>
        <v>-374.09999999999997</v>
      </c>
      <c r="S42" s="321">
        <f>SUM(S43:S45)</f>
        <v>-378.2</v>
      </c>
      <c r="T42" s="321">
        <f>SUM(T43:T45)</f>
        <v>-377.8</v>
      </c>
      <c r="U42" s="321">
        <f>SUM(U43:U45)</f>
        <v>-378.8</v>
      </c>
      <c r="V42" s="321">
        <f>SUM(V43:V45)</f>
        <v>-523.4</v>
      </c>
      <c r="W42" s="309">
        <f aca="true" t="shared" si="8" ref="W42:AB42">SUM(W43:W45)</f>
        <v>-458.09999999999997</v>
      </c>
      <c r="X42" s="321">
        <f t="shared" si="8"/>
        <v>-449.5</v>
      </c>
      <c r="Y42" s="321">
        <f t="shared" si="8"/>
        <v>-452.6</v>
      </c>
      <c r="Z42" s="322">
        <f t="shared" si="8"/>
        <v>-447.09999999999997</v>
      </c>
      <c r="AA42" s="321">
        <f t="shared" si="8"/>
        <v>-443.1</v>
      </c>
      <c r="AB42" s="321">
        <f t="shared" si="8"/>
        <v>-445.2000000000001</v>
      </c>
      <c r="AC42" s="321">
        <f>SUM(AC43:AC45)</f>
        <v>-434.10000000000014</v>
      </c>
      <c r="AD42" s="322">
        <f>SUM(AD43:AD45)</f>
        <v>-435.20000000000005</v>
      </c>
      <c r="AE42" s="321">
        <f>SUM(AE43:AE45)</f>
        <v>-480.6</v>
      </c>
      <c r="AF42" s="321"/>
      <c r="AG42" s="321"/>
    </row>
    <row r="43" spans="1:33" s="160" customFormat="1" ht="12.75">
      <c r="A43" s="156" t="s">
        <v>547</v>
      </c>
      <c r="B43" s="156" t="s">
        <v>474</v>
      </c>
      <c r="C43" s="157">
        <v>-325.7</v>
      </c>
      <c r="D43" s="158">
        <v>-319.3</v>
      </c>
      <c r="E43" s="158">
        <v>-319</v>
      </c>
      <c r="F43" s="159">
        <v>-318.8</v>
      </c>
      <c r="G43" s="157">
        <v>-315.8</v>
      </c>
      <c r="H43" s="158">
        <v>-311</v>
      </c>
      <c r="I43" s="158">
        <v>-309.5</v>
      </c>
      <c r="J43" s="159">
        <v>-316.2</v>
      </c>
      <c r="K43" s="158">
        <v>-313.5</v>
      </c>
      <c r="L43" s="158">
        <v>-317.8</v>
      </c>
      <c r="M43" s="158">
        <v>-316.4</v>
      </c>
      <c r="N43" s="158">
        <v>-327.3</v>
      </c>
      <c r="O43" s="157">
        <v>-322.9</v>
      </c>
      <c r="P43" s="158">
        <v>-325.9</v>
      </c>
      <c r="Q43" s="158">
        <v>-325.8</v>
      </c>
      <c r="R43" s="159">
        <v>-342.2</v>
      </c>
      <c r="S43" s="164">
        <v>-342</v>
      </c>
      <c r="T43" s="164">
        <v>-357.8</v>
      </c>
      <c r="U43" s="164">
        <v>-355.6</v>
      </c>
      <c r="V43" s="164">
        <v>-362</v>
      </c>
      <c r="W43" s="163">
        <v>-360.4</v>
      </c>
      <c r="X43" s="164">
        <v>-358.8</v>
      </c>
      <c r="Y43" s="164">
        <v>-361.1</v>
      </c>
      <c r="Z43" s="165">
        <v>-361.59999999999997</v>
      </c>
      <c r="AA43" s="164">
        <v>-353.6</v>
      </c>
      <c r="AB43" s="164">
        <v>-353.1000000000001</v>
      </c>
      <c r="AC43" s="164">
        <v>-352.0000000000001</v>
      </c>
      <c r="AD43" s="165">
        <v>-365.90000000000003</v>
      </c>
      <c r="AE43" s="164">
        <v>-355.5</v>
      </c>
      <c r="AF43" s="164"/>
      <c r="AG43" s="164"/>
    </row>
    <row r="44" spans="1:33" s="160" customFormat="1" ht="12.75">
      <c r="A44" s="156" t="s">
        <v>692</v>
      </c>
      <c r="B44" s="156" t="s">
        <v>691</v>
      </c>
      <c r="C44" s="157">
        <v>0</v>
      </c>
      <c r="D44" s="158">
        <v>0</v>
      </c>
      <c r="E44" s="158">
        <v>0</v>
      </c>
      <c r="F44" s="159">
        <v>0</v>
      </c>
      <c r="G44" s="157">
        <v>-30.3</v>
      </c>
      <c r="H44" s="158">
        <v>-39.1</v>
      </c>
      <c r="I44" s="158">
        <v>-36.1</v>
      </c>
      <c r="J44" s="159">
        <v>-35.3</v>
      </c>
      <c r="K44" s="158">
        <v>-36.6</v>
      </c>
      <c r="L44" s="158">
        <v>-38.2</v>
      </c>
      <c r="M44" s="158">
        <v>-38.2</v>
      </c>
      <c r="N44" s="158">
        <v>-37.2</v>
      </c>
      <c r="O44" s="157">
        <v>-37.3</v>
      </c>
      <c r="P44" s="158">
        <v>-40</v>
      </c>
      <c r="Q44" s="158">
        <v>-20</v>
      </c>
      <c r="R44" s="159">
        <v>-31.9</v>
      </c>
      <c r="S44" s="164">
        <v>-36.2</v>
      </c>
      <c r="T44" s="164">
        <v>-20</v>
      </c>
      <c r="U44" s="164">
        <v>-23.2</v>
      </c>
      <c r="V44" s="164">
        <v>-20</v>
      </c>
      <c r="W44" s="163">
        <v>-20</v>
      </c>
      <c r="X44" s="164">
        <v>-20</v>
      </c>
      <c r="Y44" s="164">
        <v>-20</v>
      </c>
      <c r="Z44" s="165">
        <v>-20</v>
      </c>
      <c r="AA44" s="164">
        <v>-20</v>
      </c>
      <c r="AB44" s="164">
        <v>-20</v>
      </c>
      <c r="AC44" s="164">
        <v>-20</v>
      </c>
      <c r="AD44" s="165">
        <v>-20</v>
      </c>
      <c r="AE44" s="164">
        <v>0</v>
      </c>
      <c r="AF44" s="164"/>
      <c r="AG44" s="164"/>
    </row>
    <row r="45" spans="1:33" s="160" customFormat="1" ht="20.25">
      <c r="A45" s="156" t="s">
        <v>693</v>
      </c>
      <c r="B45" s="162" t="s">
        <v>705</v>
      </c>
      <c r="C45" s="157">
        <v>0</v>
      </c>
      <c r="D45" s="158">
        <v>0</v>
      </c>
      <c r="E45" s="158">
        <v>0</v>
      </c>
      <c r="F45" s="159">
        <v>0</v>
      </c>
      <c r="G45" s="157">
        <v>0</v>
      </c>
      <c r="H45" s="158">
        <v>0</v>
      </c>
      <c r="I45" s="158">
        <v>0</v>
      </c>
      <c r="J45" s="159">
        <v>0</v>
      </c>
      <c r="K45" s="158">
        <v>0</v>
      </c>
      <c r="L45" s="158">
        <v>0</v>
      </c>
      <c r="M45" s="158">
        <v>0</v>
      </c>
      <c r="N45" s="158">
        <v>0</v>
      </c>
      <c r="O45" s="157">
        <v>0</v>
      </c>
      <c r="P45" s="158">
        <v>0</v>
      </c>
      <c r="Q45" s="158">
        <v>0</v>
      </c>
      <c r="R45" s="159">
        <v>0</v>
      </c>
      <c r="S45" s="164">
        <v>0</v>
      </c>
      <c r="T45" s="164">
        <v>0</v>
      </c>
      <c r="U45" s="164">
        <v>0</v>
      </c>
      <c r="V45" s="164">
        <v>-141.39999999999998</v>
      </c>
      <c r="W45" s="163">
        <v>-77.7</v>
      </c>
      <c r="X45" s="164">
        <v>-70.7</v>
      </c>
      <c r="Y45" s="164">
        <v>-71.5</v>
      </c>
      <c r="Z45" s="165">
        <v>-65.5</v>
      </c>
      <c r="AA45" s="164">
        <v>-69.5</v>
      </c>
      <c r="AB45" s="164">
        <v>-72.10000000000001</v>
      </c>
      <c r="AC45" s="164">
        <v>-62.099999999999994</v>
      </c>
      <c r="AD45" s="165">
        <v>-49.3</v>
      </c>
      <c r="AE45" s="164">
        <v>-125.1</v>
      </c>
      <c r="AF45" s="164"/>
      <c r="AG45" s="164"/>
    </row>
    <row r="46" spans="1:33" ht="12.75">
      <c r="A46" s="171" t="s">
        <v>505</v>
      </c>
      <c r="B46" s="171" t="s">
        <v>475</v>
      </c>
      <c r="C46" s="153">
        <f>SUM(C47:C48)</f>
        <v>0</v>
      </c>
      <c r="D46" s="154">
        <f aca="true" t="shared" si="9" ref="D46:Y46">SUM(D47:D48)</f>
        <v>0</v>
      </c>
      <c r="E46" s="154">
        <f t="shared" si="9"/>
        <v>0</v>
      </c>
      <c r="F46" s="155">
        <f t="shared" si="9"/>
        <v>0</v>
      </c>
      <c r="G46" s="153">
        <f t="shared" si="9"/>
        <v>-9.7</v>
      </c>
      <c r="H46" s="154">
        <f t="shared" si="9"/>
        <v>-0.9</v>
      </c>
      <c r="I46" s="154">
        <f t="shared" si="9"/>
        <v>-3.9</v>
      </c>
      <c r="J46" s="155">
        <f t="shared" si="9"/>
        <v>-4.7</v>
      </c>
      <c r="K46" s="154">
        <f t="shared" si="9"/>
        <v>-3.4</v>
      </c>
      <c r="L46" s="154">
        <f t="shared" si="9"/>
        <v>-1.8</v>
      </c>
      <c r="M46" s="154">
        <f t="shared" si="9"/>
        <v>-1.8</v>
      </c>
      <c r="N46" s="154">
        <f t="shared" si="9"/>
        <v>-2.8</v>
      </c>
      <c r="O46" s="153">
        <f t="shared" si="9"/>
        <v>-2.7</v>
      </c>
      <c r="P46" s="154">
        <f t="shared" si="9"/>
        <v>0</v>
      </c>
      <c r="Q46" s="154">
        <f t="shared" si="9"/>
        <v>-20</v>
      </c>
      <c r="R46" s="155">
        <f t="shared" si="9"/>
        <v>-8.1</v>
      </c>
      <c r="S46" s="321">
        <f t="shared" si="9"/>
        <v>-3.8</v>
      </c>
      <c r="T46" s="321">
        <f t="shared" si="9"/>
        <v>-20</v>
      </c>
      <c r="U46" s="321">
        <f t="shared" si="9"/>
        <v>-16.8</v>
      </c>
      <c r="V46" s="321">
        <f t="shared" si="9"/>
        <v>-33.3</v>
      </c>
      <c r="W46" s="309">
        <f t="shared" si="9"/>
        <v>-97.7</v>
      </c>
      <c r="X46" s="321">
        <f t="shared" si="9"/>
        <v>-90.7</v>
      </c>
      <c r="Y46" s="321">
        <f t="shared" si="9"/>
        <v>-91.5</v>
      </c>
      <c r="Z46" s="322">
        <f aca="true" t="shared" si="10" ref="Z46:AE46">SUM(Z47:Z48)</f>
        <v>-85.4</v>
      </c>
      <c r="AA46" s="321">
        <f t="shared" si="10"/>
        <v>-89.4</v>
      </c>
      <c r="AB46" s="321">
        <f t="shared" si="10"/>
        <v>-92.2</v>
      </c>
      <c r="AC46" s="321">
        <f t="shared" si="10"/>
        <v>-82.2</v>
      </c>
      <c r="AD46" s="322">
        <f t="shared" si="10"/>
        <v>-69.3</v>
      </c>
      <c r="AE46" s="321">
        <f t="shared" si="10"/>
        <v>0</v>
      </c>
      <c r="AF46" s="321"/>
      <c r="AG46" s="321"/>
    </row>
    <row r="47" spans="1:33" s="160" customFormat="1" ht="12.75">
      <c r="A47" s="156" t="s">
        <v>692</v>
      </c>
      <c r="B47" s="156" t="s">
        <v>691</v>
      </c>
      <c r="C47" s="157">
        <v>0</v>
      </c>
      <c r="D47" s="158">
        <v>0</v>
      </c>
      <c r="E47" s="158">
        <v>0</v>
      </c>
      <c r="F47" s="159">
        <v>0</v>
      </c>
      <c r="G47" s="157">
        <v>-9.7</v>
      </c>
      <c r="H47" s="158">
        <v>-0.9</v>
      </c>
      <c r="I47" s="158">
        <v>-3.9</v>
      </c>
      <c r="J47" s="159">
        <v>-4.7</v>
      </c>
      <c r="K47" s="158">
        <v>-3.4</v>
      </c>
      <c r="L47" s="158">
        <v>-1.8</v>
      </c>
      <c r="M47" s="158">
        <v>-1.8</v>
      </c>
      <c r="N47" s="158">
        <v>-2.8</v>
      </c>
      <c r="O47" s="157">
        <v>-2.7</v>
      </c>
      <c r="P47" s="158">
        <v>0</v>
      </c>
      <c r="Q47" s="158">
        <v>-20</v>
      </c>
      <c r="R47" s="159">
        <v>-8.1</v>
      </c>
      <c r="S47" s="164">
        <v>-3.8</v>
      </c>
      <c r="T47" s="164">
        <v>-20</v>
      </c>
      <c r="U47" s="164">
        <v>-16.8</v>
      </c>
      <c r="V47" s="164">
        <v>-20</v>
      </c>
      <c r="W47" s="163">
        <v>-20</v>
      </c>
      <c r="X47" s="164">
        <v>-20</v>
      </c>
      <c r="Y47" s="164">
        <v>-20</v>
      </c>
      <c r="Z47" s="165">
        <v>-20</v>
      </c>
      <c r="AA47" s="164">
        <v>-20</v>
      </c>
      <c r="AB47" s="164">
        <v>-20</v>
      </c>
      <c r="AC47" s="164">
        <v>-20</v>
      </c>
      <c r="AD47" s="165">
        <v>-20</v>
      </c>
      <c r="AE47" s="164" t="s">
        <v>415</v>
      </c>
      <c r="AF47" s="164"/>
      <c r="AG47" s="164"/>
    </row>
    <row r="48" spans="1:33" s="160" customFormat="1" ht="20.25">
      <c r="A48" s="156" t="s">
        <v>693</v>
      </c>
      <c r="B48" s="162" t="s">
        <v>705</v>
      </c>
      <c r="C48" s="157">
        <v>0</v>
      </c>
      <c r="D48" s="158">
        <v>0</v>
      </c>
      <c r="E48" s="158">
        <v>0</v>
      </c>
      <c r="F48" s="159">
        <v>0</v>
      </c>
      <c r="G48" s="157">
        <v>0</v>
      </c>
      <c r="H48" s="158">
        <v>0</v>
      </c>
      <c r="I48" s="158">
        <v>0</v>
      </c>
      <c r="J48" s="159">
        <v>0</v>
      </c>
      <c r="K48" s="158">
        <v>0</v>
      </c>
      <c r="L48" s="158">
        <v>0</v>
      </c>
      <c r="M48" s="158">
        <v>0</v>
      </c>
      <c r="N48" s="158">
        <v>0</v>
      </c>
      <c r="O48" s="157">
        <v>0</v>
      </c>
      <c r="P48" s="158">
        <v>0</v>
      </c>
      <c r="Q48" s="158">
        <v>0</v>
      </c>
      <c r="R48" s="159">
        <v>0</v>
      </c>
      <c r="S48" s="164">
        <v>0</v>
      </c>
      <c r="T48" s="164">
        <v>0</v>
      </c>
      <c r="U48" s="164">
        <v>0</v>
      </c>
      <c r="V48" s="164">
        <v>-13.299999999999997</v>
      </c>
      <c r="W48" s="163">
        <v>-77.7</v>
      </c>
      <c r="X48" s="164">
        <v>-70.7</v>
      </c>
      <c r="Y48" s="164">
        <v>-71.5</v>
      </c>
      <c r="Z48" s="165">
        <v>-65.4</v>
      </c>
      <c r="AA48" s="164">
        <v>-69.4</v>
      </c>
      <c r="AB48" s="164">
        <v>-72.2</v>
      </c>
      <c r="AC48" s="164">
        <v>-62.2</v>
      </c>
      <c r="AD48" s="165">
        <v>-49.3</v>
      </c>
      <c r="AE48" s="164" t="s">
        <v>415</v>
      </c>
      <c r="AF48" s="164"/>
      <c r="AG48" s="164"/>
    </row>
    <row r="49" spans="1:33" ht="12.75">
      <c r="A49" s="200" t="s">
        <v>548</v>
      </c>
      <c r="B49" s="200" t="s">
        <v>540</v>
      </c>
      <c r="C49" s="153">
        <v>38.1</v>
      </c>
      <c r="D49" s="154">
        <v>9</v>
      </c>
      <c r="E49" s="154">
        <v>141.2</v>
      </c>
      <c r="F49" s="155">
        <v>91.8</v>
      </c>
      <c r="G49" s="153">
        <v>30.7</v>
      </c>
      <c r="H49" s="154">
        <v>58.4</v>
      </c>
      <c r="I49" s="154">
        <v>89.9</v>
      </c>
      <c r="J49" s="155">
        <v>79.7</v>
      </c>
      <c r="K49" s="154">
        <v>0</v>
      </c>
      <c r="L49" s="154">
        <v>63.5</v>
      </c>
      <c r="M49" s="154">
        <v>54.8</v>
      </c>
      <c r="N49" s="154">
        <v>65.5</v>
      </c>
      <c r="O49" s="153">
        <v>55.4</v>
      </c>
      <c r="P49" s="154">
        <v>38.9</v>
      </c>
      <c r="Q49" s="154">
        <v>32.2</v>
      </c>
      <c r="R49" s="155">
        <v>26.5</v>
      </c>
      <c r="S49" s="321">
        <v>62.1</v>
      </c>
      <c r="T49" s="321">
        <v>59.8</v>
      </c>
      <c r="U49" s="321">
        <v>40.4</v>
      </c>
      <c r="V49" s="321">
        <v>32.7</v>
      </c>
      <c r="W49" s="309">
        <v>41.6</v>
      </c>
      <c r="X49" s="321">
        <v>42.1</v>
      </c>
      <c r="Y49" s="321">
        <v>40.4</v>
      </c>
      <c r="Z49" s="322">
        <v>44.4</v>
      </c>
      <c r="AA49" s="321">
        <v>37.6</v>
      </c>
      <c r="AB49" s="321">
        <v>51.4</v>
      </c>
      <c r="AC49" s="321">
        <v>39.1</v>
      </c>
      <c r="AD49" s="322">
        <v>34.7</v>
      </c>
      <c r="AE49" s="321" t="s">
        <v>415</v>
      </c>
      <c r="AF49" s="321"/>
      <c r="AG49" s="321"/>
    </row>
    <row r="50" spans="1:33" s="160" customFormat="1" ht="13.5" thickBot="1">
      <c r="A50" s="214"/>
      <c r="B50" s="214"/>
      <c r="C50" s="300"/>
      <c r="D50" s="301"/>
      <c r="E50" s="301"/>
      <c r="F50" s="302"/>
      <c r="G50" s="300"/>
      <c r="H50" s="301"/>
      <c r="I50" s="301"/>
      <c r="J50" s="302"/>
      <c r="K50" s="301"/>
      <c r="L50" s="301"/>
      <c r="M50" s="301"/>
      <c r="N50" s="301"/>
      <c r="O50" s="300"/>
      <c r="P50" s="301"/>
      <c r="Q50" s="301"/>
      <c r="R50" s="302"/>
      <c r="S50" s="326"/>
      <c r="T50" s="326"/>
      <c r="U50" s="326"/>
      <c r="V50" s="326"/>
      <c r="W50" s="327"/>
      <c r="X50" s="326"/>
      <c r="Y50" s="326"/>
      <c r="Z50" s="328"/>
      <c r="AA50" s="326"/>
      <c r="AB50" s="326"/>
      <c r="AC50" s="326"/>
      <c r="AD50" s="328"/>
      <c r="AE50" s="326"/>
      <c r="AF50" s="326"/>
      <c r="AG50" s="326"/>
    </row>
    <row r="51" spans="1:33" ht="36" thickBot="1">
      <c r="A51" s="219" t="s">
        <v>694</v>
      </c>
      <c r="B51" s="298" t="s">
        <v>659</v>
      </c>
      <c r="C51" s="303" t="s">
        <v>415</v>
      </c>
      <c r="D51" s="304" t="s">
        <v>415</v>
      </c>
      <c r="E51" s="304" t="s">
        <v>415</v>
      </c>
      <c r="F51" s="305" t="s">
        <v>415</v>
      </c>
      <c r="G51" s="303" t="s">
        <v>415</v>
      </c>
      <c r="H51" s="304" t="s">
        <v>415</v>
      </c>
      <c r="I51" s="304" t="s">
        <v>415</v>
      </c>
      <c r="J51" s="305" t="s">
        <v>415</v>
      </c>
      <c r="K51" s="304" t="s">
        <v>415</v>
      </c>
      <c r="L51" s="304" t="s">
        <v>415</v>
      </c>
      <c r="M51" s="304" t="s">
        <v>415</v>
      </c>
      <c r="N51" s="304" t="s">
        <v>415</v>
      </c>
      <c r="O51" s="303" t="s">
        <v>415</v>
      </c>
      <c r="P51" s="304" t="s">
        <v>415</v>
      </c>
      <c r="Q51" s="304" t="s">
        <v>415</v>
      </c>
      <c r="R51" s="305" t="s">
        <v>415</v>
      </c>
      <c r="S51" s="304" t="s">
        <v>415</v>
      </c>
      <c r="T51" s="304" t="s">
        <v>415</v>
      </c>
      <c r="U51" s="304" t="s">
        <v>415</v>
      </c>
      <c r="V51" s="304">
        <f aca="true" t="shared" si="11" ref="V51:AB51">SUM(V15,V27,V42,V46,V49)</f>
        <v>5326.5</v>
      </c>
      <c r="W51" s="303">
        <f t="shared" si="11"/>
        <v>5845.700000000001</v>
      </c>
      <c r="X51" s="304">
        <f t="shared" si="11"/>
        <v>6157.500000000001</v>
      </c>
      <c r="Y51" s="304">
        <f t="shared" si="11"/>
        <v>6485.5999999999985</v>
      </c>
      <c r="Z51" s="305">
        <f t="shared" si="11"/>
        <v>6797.2</v>
      </c>
      <c r="AA51" s="304">
        <f t="shared" si="11"/>
        <v>7016.900000000001</v>
      </c>
      <c r="AB51" s="304">
        <f t="shared" si="11"/>
        <v>6853.199999999999</v>
      </c>
      <c r="AC51" s="304">
        <f>SUM(AC15,AC27,AC42,AC46,AC49)</f>
        <v>7279.1</v>
      </c>
      <c r="AD51" s="305">
        <f>SUM(AD15,AD27,AD42,AD46,AD49)</f>
        <v>7285.999999999999</v>
      </c>
      <c r="AE51" s="304">
        <f>SUM(AE15,AE27,AE42,AE46,AE49)</f>
        <v>6565.699999999999</v>
      </c>
      <c r="AF51" s="304">
        <f>SUM(AF15,AF27,AF41,AF46,AF49)</f>
        <v>6965.3</v>
      </c>
      <c r="AG51" s="304">
        <f>SUM(AG15,AG27,AG41,AG46,AG49)</f>
        <v>6978.299999999999</v>
      </c>
    </row>
    <row r="52" spans="1:33" ht="12.75">
      <c r="A52" s="215" t="s">
        <v>698</v>
      </c>
      <c r="B52" s="299" t="s">
        <v>660</v>
      </c>
      <c r="C52" s="216" t="s">
        <v>415</v>
      </c>
      <c r="D52" s="217" t="s">
        <v>415</v>
      </c>
      <c r="E52" s="217" t="s">
        <v>415</v>
      </c>
      <c r="F52" s="218" t="s">
        <v>415</v>
      </c>
      <c r="G52" s="216" t="s">
        <v>415</v>
      </c>
      <c r="H52" s="217" t="s">
        <v>415</v>
      </c>
      <c r="I52" s="217" t="s">
        <v>415</v>
      </c>
      <c r="J52" s="218" t="s">
        <v>415</v>
      </c>
      <c r="K52" s="217" t="s">
        <v>415</v>
      </c>
      <c r="L52" s="217" t="s">
        <v>415</v>
      </c>
      <c r="M52" s="217" t="s">
        <v>415</v>
      </c>
      <c r="N52" s="217" t="s">
        <v>415</v>
      </c>
      <c r="O52" s="216" t="s">
        <v>415</v>
      </c>
      <c r="P52" s="217" t="s">
        <v>415</v>
      </c>
      <c r="Q52" s="217" t="s">
        <v>415</v>
      </c>
      <c r="R52" s="218" t="s">
        <v>415</v>
      </c>
      <c r="S52" s="217" t="s">
        <v>415</v>
      </c>
      <c r="T52" s="217" t="s">
        <v>415</v>
      </c>
      <c r="U52" s="217" t="s">
        <v>415</v>
      </c>
      <c r="V52" s="217">
        <f aca="true" t="shared" si="12" ref="V52:AB52">SUM(V15,V42)</f>
        <v>5293.8</v>
      </c>
      <c r="W52" s="216">
        <f t="shared" si="12"/>
        <v>5801.8</v>
      </c>
      <c r="X52" s="217">
        <f t="shared" si="12"/>
        <v>6078.8</v>
      </c>
      <c r="Y52" s="217">
        <f t="shared" si="12"/>
        <v>6247.699999999999</v>
      </c>
      <c r="Z52" s="218">
        <f t="shared" si="12"/>
        <v>6252.8</v>
      </c>
      <c r="AA52" s="217">
        <f t="shared" si="12"/>
        <v>6649.9</v>
      </c>
      <c r="AB52" s="217">
        <f t="shared" si="12"/>
        <v>6598.799999999999</v>
      </c>
      <c r="AC52" s="217">
        <f>SUM(AC15,AC42)</f>
        <v>7110.2</v>
      </c>
      <c r="AD52" s="218">
        <f>SUM(AD15,AD42)</f>
        <v>7025.299999999999</v>
      </c>
      <c r="AE52" s="217"/>
      <c r="AF52" s="217"/>
      <c r="AG52" s="217"/>
    </row>
    <row r="53" spans="1:33" ht="12.75">
      <c r="A53" s="172" t="s">
        <v>697</v>
      </c>
      <c r="B53" s="299" t="s">
        <v>661</v>
      </c>
      <c r="C53" s="173" t="s">
        <v>415</v>
      </c>
      <c r="D53" s="174" t="s">
        <v>415</v>
      </c>
      <c r="E53" s="174" t="s">
        <v>415</v>
      </c>
      <c r="F53" s="175" t="s">
        <v>415</v>
      </c>
      <c r="G53" s="173" t="s">
        <v>415</v>
      </c>
      <c r="H53" s="174" t="s">
        <v>415</v>
      </c>
      <c r="I53" s="174" t="s">
        <v>415</v>
      </c>
      <c r="J53" s="175" t="s">
        <v>415</v>
      </c>
      <c r="K53" s="174" t="s">
        <v>415</v>
      </c>
      <c r="L53" s="174" t="s">
        <v>415</v>
      </c>
      <c r="M53" s="174" t="s">
        <v>415</v>
      </c>
      <c r="N53" s="174" t="s">
        <v>415</v>
      </c>
      <c r="O53" s="173" t="s">
        <v>415</v>
      </c>
      <c r="P53" s="174" t="s">
        <v>415</v>
      </c>
      <c r="Q53" s="174" t="s">
        <v>415</v>
      </c>
      <c r="R53" s="175" t="s">
        <v>415</v>
      </c>
      <c r="S53" s="174" t="s">
        <v>415</v>
      </c>
      <c r="T53" s="174" t="s">
        <v>415</v>
      </c>
      <c r="U53" s="174" t="s">
        <v>415</v>
      </c>
      <c r="V53" s="174">
        <f aca="true" t="shared" si="13" ref="V53:AB53">SUM(V27,V46)</f>
        <v>0</v>
      </c>
      <c r="W53" s="173">
        <f t="shared" si="13"/>
        <v>2.299999999999997</v>
      </c>
      <c r="X53" s="174">
        <f t="shared" si="13"/>
        <v>36.599999999999994</v>
      </c>
      <c r="Y53" s="174">
        <f t="shared" si="13"/>
        <v>197.5</v>
      </c>
      <c r="Z53" s="175">
        <f t="shared" si="13"/>
        <v>500</v>
      </c>
      <c r="AA53" s="174">
        <f t="shared" si="13"/>
        <v>329.4</v>
      </c>
      <c r="AB53" s="174">
        <f t="shared" si="13"/>
        <v>203</v>
      </c>
      <c r="AC53" s="174">
        <f>SUM(AC27,AC46)</f>
        <v>129.8</v>
      </c>
      <c r="AD53" s="175">
        <f>SUM(AD27,AD46)</f>
        <v>226</v>
      </c>
      <c r="AE53" s="174"/>
      <c r="AF53" s="174"/>
      <c r="AG53" s="174"/>
    </row>
    <row r="54" spans="1:33" ht="12.75">
      <c r="A54" s="172" t="s">
        <v>696</v>
      </c>
      <c r="B54" s="299" t="s">
        <v>662</v>
      </c>
      <c r="C54" s="173" t="s">
        <v>415</v>
      </c>
      <c r="D54" s="174" t="s">
        <v>415</v>
      </c>
      <c r="E54" s="174" t="s">
        <v>415</v>
      </c>
      <c r="F54" s="175" t="s">
        <v>415</v>
      </c>
      <c r="G54" s="173" t="s">
        <v>415</v>
      </c>
      <c r="H54" s="174" t="s">
        <v>415</v>
      </c>
      <c r="I54" s="174" t="s">
        <v>415</v>
      </c>
      <c r="J54" s="175" t="s">
        <v>415</v>
      </c>
      <c r="K54" s="174" t="s">
        <v>415</v>
      </c>
      <c r="L54" s="174" t="s">
        <v>415</v>
      </c>
      <c r="M54" s="174" t="s">
        <v>415</v>
      </c>
      <c r="N54" s="174" t="s">
        <v>415</v>
      </c>
      <c r="O54" s="173" t="s">
        <v>415</v>
      </c>
      <c r="P54" s="174" t="s">
        <v>415</v>
      </c>
      <c r="Q54" s="174" t="s">
        <v>415</v>
      </c>
      <c r="R54" s="175" t="s">
        <v>415</v>
      </c>
      <c r="S54" s="174" t="s">
        <v>415</v>
      </c>
      <c r="T54" s="174" t="s">
        <v>415</v>
      </c>
      <c r="U54" s="174" t="s">
        <v>415</v>
      </c>
      <c r="V54" s="174">
        <f aca="true" t="shared" si="14" ref="V54:AB54">SUM(V49)</f>
        <v>32.7</v>
      </c>
      <c r="W54" s="173">
        <f t="shared" si="14"/>
        <v>41.6</v>
      </c>
      <c r="X54" s="174">
        <f t="shared" si="14"/>
        <v>42.1</v>
      </c>
      <c r="Y54" s="174">
        <f t="shared" si="14"/>
        <v>40.4</v>
      </c>
      <c r="Z54" s="175">
        <f t="shared" si="14"/>
        <v>44.4</v>
      </c>
      <c r="AA54" s="174">
        <f t="shared" si="14"/>
        <v>37.6</v>
      </c>
      <c r="AB54" s="174">
        <f t="shared" si="14"/>
        <v>51.4</v>
      </c>
      <c r="AC54" s="174">
        <f>SUM(AC49)</f>
        <v>39.1</v>
      </c>
      <c r="AD54" s="175">
        <f>SUM(AD49)</f>
        <v>34.7</v>
      </c>
      <c r="AE54" s="174"/>
      <c r="AF54" s="174"/>
      <c r="AG54" s="174"/>
    </row>
    <row r="55" spans="1:33" ht="13.5" thickBot="1">
      <c r="A55" s="172"/>
      <c r="B55" s="172"/>
      <c r="C55" s="173"/>
      <c r="D55" s="174"/>
      <c r="E55" s="174"/>
      <c r="F55" s="175"/>
      <c r="G55" s="173"/>
      <c r="H55" s="174"/>
      <c r="I55" s="174"/>
      <c r="J55" s="175"/>
      <c r="K55" s="174"/>
      <c r="L55" s="174"/>
      <c r="M55" s="174"/>
      <c r="N55" s="174"/>
      <c r="O55" s="173"/>
      <c r="P55" s="174"/>
      <c r="Q55" s="174"/>
      <c r="R55" s="175"/>
      <c r="S55" s="174"/>
      <c r="T55" s="174"/>
      <c r="U55" s="174"/>
      <c r="V55" s="174"/>
      <c r="W55" s="173"/>
      <c r="X55" s="174"/>
      <c r="Y55" s="174"/>
      <c r="Z55" s="175"/>
      <c r="AA55" s="174"/>
      <c r="AB55" s="174"/>
      <c r="AC55" s="174"/>
      <c r="AD55" s="175"/>
      <c r="AE55" s="174"/>
      <c r="AF55" s="174"/>
      <c r="AG55" s="174"/>
    </row>
    <row r="56" spans="1:33" ht="36" thickBot="1">
      <c r="A56" s="219" t="s">
        <v>695</v>
      </c>
      <c r="B56" s="298" t="s">
        <v>663</v>
      </c>
      <c r="C56" s="303">
        <f>SUM(C15,C27,C43,C44,C47,C49)</f>
        <v>2883.8</v>
      </c>
      <c r="D56" s="304">
        <f aca="true" t="shared" si="15" ref="D56:W56">SUM(D15,D27,D43,D44,D47,D49)</f>
        <v>3005.3999999999996</v>
      </c>
      <c r="E56" s="304">
        <f t="shared" si="15"/>
        <v>3111.0999999999995</v>
      </c>
      <c r="F56" s="305">
        <f t="shared" si="15"/>
        <v>2982.7999999999997</v>
      </c>
      <c r="G56" s="303">
        <f t="shared" si="15"/>
        <v>3255.299999999999</v>
      </c>
      <c r="H56" s="304">
        <f t="shared" si="15"/>
        <v>3248.0999999999995</v>
      </c>
      <c r="I56" s="304">
        <f t="shared" si="15"/>
        <v>3798.4</v>
      </c>
      <c r="J56" s="305">
        <f t="shared" si="15"/>
        <v>3811.5999999999995</v>
      </c>
      <c r="K56" s="304">
        <f t="shared" si="15"/>
        <v>3752.0999999999995</v>
      </c>
      <c r="L56" s="304">
        <f t="shared" si="15"/>
        <v>3885.3999999999996</v>
      </c>
      <c r="M56" s="304">
        <f t="shared" si="15"/>
        <v>4166.100000000001</v>
      </c>
      <c r="N56" s="304">
        <f t="shared" si="15"/>
        <v>4186.400000000001</v>
      </c>
      <c r="O56" s="303">
        <f t="shared" si="15"/>
        <v>4517.6</v>
      </c>
      <c r="P56" s="304">
        <f t="shared" si="15"/>
        <v>4491.500000000001</v>
      </c>
      <c r="Q56" s="304">
        <f t="shared" si="15"/>
        <v>4889.699999999999</v>
      </c>
      <c r="R56" s="305">
        <f t="shared" si="15"/>
        <v>4843.9</v>
      </c>
      <c r="S56" s="304">
        <f t="shared" si="15"/>
        <v>5016.4</v>
      </c>
      <c r="T56" s="304">
        <f t="shared" si="15"/>
        <v>5089.900000000001</v>
      </c>
      <c r="U56" s="304">
        <f t="shared" si="15"/>
        <v>5481.0999999999985</v>
      </c>
      <c r="V56" s="304">
        <f t="shared" si="15"/>
        <v>5481.2</v>
      </c>
      <c r="W56" s="303">
        <f t="shared" si="15"/>
        <v>6001.100000000001</v>
      </c>
      <c r="X56" s="304">
        <f>SUM(X15,X27,X43,X44,X47,X49)</f>
        <v>6298.900000000001</v>
      </c>
      <c r="Y56" s="304">
        <f>SUM(Y15,Y27,Y43,Y44,Y47,Y49)</f>
        <v>6628.5999999999985</v>
      </c>
      <c r="Z56" s="305">
        <f>SUM(Z15,Z27,Z43,Z44,Z47,Z49)</f>
        <v>6928.099999999999</v>
      </c>
      <c r="AA56" s="304">
        <f>SUM(AA15,AA27,AA43,AA44,AA47,AA49)</f>
        <v>7155.8</v>
      </c>
      <c r="AB56" s="304" t="s">
        <v>415</v>
      </c>
      <c r="AC56" s="304" t="s">
        <v>415</v>
      </c>
      <c r="AD56" s="305" t="s">
        <v>415</v>
      </c>
      <c r="AE56" s="304"/>
      <c r="AF56" s="304"/>
      <c r="AG56" s="304"/>
    </row>
    <row r="57" spans="1:33" ht="12.75">
      <c r="A57" s="215" t="s">
        <v>698</v>
      </c>
      <c r="B57" s="299" t="s">
        <v>660</v>
      </c>
      <c r="C57" s="176">
        <f>SUM(C15,C43,C44)</f>
        <v>2821.6000000000004</v>
      </c>
      <c r="D57" s="177">
        <f aca="true" t="shared" si="16" ref="D57:W57">SUM(D15,D43,D44)</f>
        <v>2996.3999999999996</v>
      </c>
      <c r="E57" s="177">
        <f t="shared" si="16"/>
        <v>2969.8999999999996</v>
      </c>
      <c r="F57" s="178">
        <f t="shared" si="16"/>
        <v>2890.9999999999995</v>
      </c>
      <c r="G57" s="176">
        <f t="shared" si="16"/>
        <v>3224.599999999999</v>
      </c>
      <c r="H57" s="177">
        <f t="shared" si="16"/>
        <v>3189.6999999999994</v>
      </c>
      <c r="I57" s="177">
        <f t="shared" si="16"/>
        <v>3708.5</v>
      </c>
      <c r="J57" s="178">
        <f t="shared" si="16"/>
        <v>3731.8999999999996</v>
      </c>
      <c r="K57" s="177">
        <f t="shared" si="16"/>
        <v>3752.1</v>
      </c>
      <c r="L57" s="177">
        <f t="shared" si="16"/>
        <v>3821.8999999999996</v>
      </c>
      <c r="M57" s="177">
        <f t="shared" si="16"/>
        <v>4111.300000000001</v>
      </c>
      <c r="N57" s="177">
        <f t="shared" si="16"/>
        <v>4120.900000000001</v>
      </c>
      <c r="O57" s="176">
        <f t="shared" si="16"/>
        <v>4462.200000000001</v>
      </c>
      <c r="P57" s="177">
        <f t="shared" si="16"/>
        <v>4452.600000000001</v>
      </c>
      <c r="Q57" s="177">
        <f t="shared" si="16"/>
        <v>4845.799999999999</v>
      </c>
      <c r="R57" s="178">
        <f t="shared" si="16"/>
        <v>4817.4</v>
      </c>
      <c r="S57" s="174">
        <f t="shared" si="16"/>
        <v>4954.299999999999</v>
      </c>
      <c r="T57" s="174">
        <f t="shared" si="16"/>
        <v>5005.5</v>
      </c>
      <c r="U57" s="174">
        <f t="shared" si="16"/>
        <v>5440.699999999999</v>
      </c>
      <c r="V57" s="174">
        <f t="shared" si="16"/>
        <v>5435.2</v>
      </c>
      <c r="W57" s="173">
        <f t="shared" si="16"/>
        <v>5879.500000000001</v>
      </c>
      <c r="X57" s="174">
        <f>SUM(X15,X43,X44)</f>
        <v>6149.5</v>
      </c>
      <c r="Y57" s="174">
        <f>SUM(Y15,Y43,Y44)</f>
        <v>6319.199999999999</v>
      </c>
      <c r="Z57" s="175">
        <f>SUM(Z15,Z43,Z44)</f>
        <v>6318.3</v>
      </c>
      <c r="AA57" s="174">
        <f>SUM(AA15,AA43,AA44)</f>
        <v>6719.4</v>
      </c>
      <c r="AB57" s="174" t="s">
        <v>415</v>
      </c>
      <c r="AC57" s="174" t="s">
        <v>415</v>
      </c>
      <c r="AD57" s="175" t="s">
        <v>415</v>
      </c>
      <c r="AE57" s="174"/>
      <c r="AF57" s="174"/>
      <c r="AG57" s="174"/>
    </row>
    <row r="58" spans="1:33" ht="12.75">
      <c r="A58" s="172" t="s">
        <v>697</v>
      </c>
      <c r="B58" s="299" t="s">
        <v>661</v>
      </c>
      <c r="C58" s="176">
        <f>SUM(C27,C47)</f>
        <v>24.1</v>
      </c>
      <c r="D58" s="177">
        <f aca="true" t="shared" si="17" ref="D58:Y58">SUM(D27,D47)</f>
        <v>0</v>
      </c>
      <c r="E58" s="177">
        <f t="shared" si="17"/>
        <v>0</v>
      </c>
      <c r="F58" s="178">
        <f t="shared" si="17"/>
        <v>0</v>
      </c>
      <c r="G58" s="176">
        <f t="shared" si="17"/>
        <v>0</v>
      </c>
      <c r="H58" s="177">
        <f t="shared" si="17"/>
        <v>0</v>
      </c>
      <c r="I58" s="177">
        <f t="shared" si="17"/>
        <v>0</v>
      </c>
      <c r="J58" s="178">
        <f t="shared" si="17"/>
        <v>0</v>
      </c>
      <c r="K58" s="177">
        <f t="shared" si="17"/>
        <v>0</v>
      </c>
      <c r="L58" s="177">
        <f t="shared" si="17"/>
        <v>0</v>
      </c>
      <c r="M58" s="177">
        <f t="shared" si="17"/>
        <v>0</v>
      </c>
      <c r="N58" s="177">
        <f t="shared" si="17"/>
        <v>0</v>
      </c>
      <c r="O58" s="176">
        <f t="shared" si="17"/>
        <v>0</v>
      </c>
      <c r="P58" s="177">
        <f t="shared" si="17"/>
        <v>0</v>
      </c>
      <c r="Q58" s="177">
        <f t="shared" si="17"/>
        <v>11.7</v>
      </c>
      <c r="R58" s="178">
        <f t="shared" si="17"/>
        <v>0</v>
      </c>
      <c r="S58" s="174">
        <f t="shared" si="17"/>
        <v>0</v>
      </c>
      <c r="T58" s="174">
        <f t="shared" si="17"/>
        <v>24.6</v>
      </c>
      <c r="U58" s="174">
        <f t="shared" si="17"/>
        <v>0</v>
      </c>
      <c r="V58" s="174">
        <f t="shared" si="17"/>
        <v>13.299999999999997</v>
      </c>
      <c r="W58" s="173">
        <f t="shared" si="17"/>
        <v>80</v>
      </c>
      <c r="X58" s="174">
        <f t="shared" si="17"/>
        <v>107.3</v>
      </c>
      <c r="Y58" s="174">
        <f t="shared" si="17"/>
        <v>269</v>
      </c>
      <c r="Z58" s="175">
        <f>SUM(Z27,Z47)</f>
        <v>565.4</v>
      </c>
      <c r="AA58" s="174">
        <f>SUM(AA27,AA47)</f>
        <v>398.8</v>
      </c>
      <c r="AB58" s="174" t="s">
        <v>415</v>
      </c>
      <c r="AC58" s="174" t="s">
        <v>415</v>
      </c>
      <c r="AD58" s="175" t="s">
        <v>415</v>
      </c>
      <c r="AE58" s="174"/>
      <c r="AF58" s="174"/>
      <c r="AG58" s="174"/>
    </row>
    <row r="59" spans="1:33" ht="12.75">
      <c r="A59" s="172" t="s">
        <v>696</v>
      </c>
      <c r="B59" s="299" t="s">
        <v>662</v>
      </c>
      <c r="C59" s="176">
        <f>SUM(C49)</f>
        <v>38.1</v>
      </c>
      <c r="D59" s="177">
        <f aca="true" t="shared" si="18" ref="D59:Y59">SUM(D49)</f>
        <v>9</v>
      </c>
      <c r="E59" s="177">
        <f t="shared" si="18"/>
        <v>141.2</v>
      </c>
      <c r="F59" s="178">
        <f t="shared" si="18"/>
        <v>91.8</v>
      </c>
      <c r="G59" s="176">
        <f t="shared" si="18"/>
        <v>30.7</v>
      </c>
      <c r="H59" s="177">
        <f t="shared" si="18"/>
        <v>58.4</v>
      </c>
      <c r="I59" s="177">
        <f t="shared" si="18"/>
        <v>89.9</v>
      </c>
      <c r="J59" s="178">
        <f t="shared" si="18"/>
        <v>79.7</v>
      </c>
      <c r="K59" s="177">
        <f t="shared" si="18"/>
        <v>0</v>
      </c>
      <c r="L59" s="177">
        <f t="shared" si="18"/>
        <v>63.5</v>
      </c>
      <c r="M59" s="177">
        <f t="shared" si="18"/>
        <v>54.8</v>
      </c>
      <c r="N59" s="177">
        <f t="shared" si="18"/>
        <v>65.5</v>
      </c>
      <c r="O59" s="176">
        <f t="shared" si="18"/>
        <v>55.4</v>
      </c>
      <c r="P59" s="177">
        <f t="shared" si="18"/>
        <v>38.9</v>
      </c>
      <c r="Q59" s="177">
        <f t="shared" si="18"/>
        <v>32.2</v>
      </c>
      <c r="R59" s="178">
        <f t="shared" si="18"/>
        <v>26.5</v>
      </c>
      <c r="S59" s="174">
        <f t="shared" si="18"/>
        <v>62.1</v>
      </c>
      <c r="T59" s="174">
        <f t="shared" si="18"/>
        <v>59.8</v>
      </c>
      <c r="U59" s="174">
        <f t="shared" si="18"/>
        <v>40.4</v>
      </c>
      <c r="V59" s="174">
        <f t="shared" si="18"/>
        <v>32.7</v>
      </c>
      <c r="W59" s="173">
        <f t="shared" si="18"/>
        <v>41.6</v>
      </c>
      <c r="X59" s="174">
        <f t="shared" si="18"/>
        <v>42.1</v>
      </c>
      <c r="Y59" s="174">
        <f t="shared" si="18"/>
        <v>40.4</v>
      </c>
      <c r="Z59" s="175">
        <f>SUM(Z49)</f>
        <v>44.4</v>
      </c>
      <c r="AA59" s="174">
        <f>SUM(AA49)</f>
        <v>37.6</v>
      </c>
      <c r="AB59" s="174" t="s">
        <v>415</v>
      </c>
      <c r="AC59" s="174" t="s">
        <v>415</v>
      </c>
      <c r="AD59" s="175" t="s">
        <v>415</v>
      </c>
      <c r="AE59" s="174"/>
      <c r="AF59" s="174"/>
      <c r="AG59" s="174"/>
    </row>
    <row r="60" spans="1:33" s="196" customFormat="1" ht="12.75">
      <c r="A60" s="233"/>
      <c r="B60" s="233"/>
      <c r="C60" s="231"/>
      <c r="D60" s="234"/>
      <c r="E60" s="234"/>
      <c r="F60" s="232"/>
      <c r="G60" s="231"/>
      <c r="H60" s="234"/>
      <c r="I60" s="234"/>
      <c r="J60" s="232"/>
      <c r="K60" s="234"/>
      <c r="L60" s="234"/>
      <c r="M60" s="234"/>
      <c r="N60" s="234"/>
      <c r="O60" s="231"/>
      <c r="P60" s="234"/>
      <c r="Q60" s="234"/>
      <c r="R60" s="232"/>
      <c r="S60" s="234"/>
      <c r="T60" s="234"/>
      <c r="U60" s="234"/>
      <c r="V60" s="234"/>
      <c r="W60" s="231"/>
      <c r="X60" s="234"/>
      <c r="Y60" s="234"/>
      <c r="Z60" s="232"/>
      <c r="AA60" s="234"/>
      <c r="AB60" s="234"/>
      <c r="AC60" s="234"/>
      <c r="AD60" s="232"/>
      <c r="AE60" s="234"/>
      <c r="AF60" s="234"/>
      <c r="AG60" s="234"/>
    </row>
    <row r="61" spans="1:33" s="227" customFormat="1" ht="21" customHeight="1">
      <c r="A61" s="223" t="s">
        <v>506</v>
      </c>
      <c r="B61" s="223" t="s">
        <v>476</v>
      </c>
      <c r="C61" s="228"/>
      <c r="D61" s="229"/>
      <c r="E61" s="229"/>
      <c r="F61" s="230"/>
      <c r="G61" s="228"/>
      <c r="H61" s="229"/>
      <c r="I61" s="229"/>
      <c r="J61" s="230"/>
      <c r="K61" s="229"/>
      <c r="L61" s="229"/>
      <c r="M61" s="229"/>
      <c r="N61" s="229"/>
      <c r="O61" s="228"/>
      <c r="P61" s="229"/>
      <c r="Q61" s="229"/>
      <c r="R61" s="230"/>
      <c r="S61" s="329"/>
      <c r="T61" s="329"/>
      <c r="U61" s="329"/>
      <c r="V61" s="329"/>
      <c r="W61" s="330"/>
      <c r="X61" s="329"/>
      <c r="Y61" s="329"/>
      <c r="Z61" s="331"/>
      <c r="AA61" s="329"/>
      <c r="AB61" s="329"/>
      <c r="AC61" s="329"/>
      <c r="AD61" s="331"/>
      <c r="AE61" s="329"/>
      <c r="AF61" s="329"/>
      <c r="AG61" s="329"/>
    </row>
    <row r="62" spans="1:33" ht="20.25">
      <c r="A62" s="182" t="s">
        <v>507</v>
      </c>
      <c r="B62" s="182" t="s">
        <v>477</v>
      </c>
      <c r="C62" s="183" t="s">
        <v>415</v>
      </c>
      <c r="D62" s="184" t="s">
        <v>415</v>
      </c>
      <c r="E62" s="184" t="s">
        <v>415</v>
      </c>
      <c r="F62" s="185" t="s">
        <v>415</v>
      </c>
      <c r="G62" s="179">
        <v>2057.4</v>
      </c>
      <c r="H62" s="180">
        <v>1983.4</v>
      </c>
      <c r="I62" s="180">
        <v>2188.3</v>
      </c>
      <c r="J62" s="181">
        <v>2580.3</v>
      </c>
      <c r="K62" s="180">
        <v>2619.3</v>
      </c>
      <c r="L62" s="180">
        <v>2503.4</v>
      </c>
      <c r="M62" s="180">
        <v>2416</v>
      </c>
      <c r="N62" s="180">
        <v>2432</v>
      </c>
      <c r="O62" s="179">
        <v>2398.1</v>
      </c>
      <c r="P62" s="180">
        <v>2496</v>
      </c>
      <c r="Q62" s="180">
        <v>2581.6</v>
      </c>
      <c r="R62" s="181">
        <v>2581.6</v>
      </c>
      <c r="S62" s="184">
        <v>2725.1</v>
      </c>
      <c r="T62" s="184">
        <v>2806.1</v>
      </c>
      <c r="U62" s="184">
        <v>3056.2</v>
      </c>
      <c r="V62" s="184">
        <v>3176.6</v>
      </c>
      <c r="W62" s="183">
        <v>3414.8</v>
      </c>
      <c r="X62" s="184">
        <v>3345.7000000000003</v>
      </c>
      <c r="Y62" s="184">
        <v>3349.6</v>
      </c>
      <c r="Z62" s="185">
        <v>3285.7999999999997</v>
      </c>
      <c r="AA62" s="184">
        <v>3229.5</v>
      </c>
      <c r="AB62" s="184">
        <v>2974.8</v>
      </c>
      <c r="AC62" s="184">
        <v>2844.5</v>
      </c>
      <c r="AD62" s="185">
        <v>2900.1</v>
      </c>
      <c r="AE62" s="184">
        <v>3077.3</v>
      </c>
      <c r="AF62" s="184"/>
      <c r="AG62" s="184"/>
    </row>
    <row r="63" spans="1:33" s="147" customFormat="1" ht="20.25">
      <c r="A63" s="56" t="s">
        <v>516</v>
      </c>
      <c r="B63" s="56" t="s">
        <v>478</v>
      </c>
      <c r="C63" s="121" t="s">
        <v>415</v>
      </c>
      <c r="D63" s="122" t="s">
        <v>415</v>
      </c>
      <c r="E63" s="122" t="s">
        <v>415</v>
      </c>
      <c r="F63" s="122" t="s">
        <v>415</v>
      </c>
      <c r="G63" s="121" t="s">
        <v>415</v>
      </c>
      <c r="H63" s="122" t="s">
        <v>415</v>
      </c>
      <c r="I63" s="122" t="s">
        <v>415</v>
      </c>
      <c r="J63" s="122" t="s">
        <v>415</v>
      </c>
      <c r="K63" s="121" t="s">
        <v>415</v>
      </c>
      <c r="L63" s="122" t="s">
        <v>415</v>
      </c>
      <c r="M63" s="122" t="s">
        <v>415</v>
      </c>
      <c r="N63" s="122" t="s">
        <v>415</v>
      </c>
      <c r="O63" s="121" t="s">
        <v>415</v>
      </c>
      <c r="P63" s="122" t="s">
        <v>415</v>
      </c>
      <c r="Q63" s="122" t="s">
        <v>415</v>
      </c>
      <c r="R63" s="122" t="s">
        <v>415</v>
      </c>
      <c r="S63" s="121" t="s">
        <v>415</v>
      </c>
      <c r="T63" s="122" t="s">
        <v>415</v>
      </c>
      <c r="U63" s="122" t="s">
        <v>415</v>
      </c>
      <c r="V63" s="276">
        <v>329</v>
      </c>
      <c r="W63" s="275">
        <v>285.2</v>
      </c>
      <c r="X63" s="250">
        <v>140.8</v>
      </c>
      <c r="Y63" s="250">
        <v>372.4</v>
      </c>
      <c r="Z63" s="276">
        <v>444.1</v>
      </c>
      <c r="AA63" s="250">
        <v>475</v>
      </c>
      <c r="AB63" s="250" t="s">
        <v>415</v>
      </c>
      <c r="AC63" s="250" t="s">
        <v>415</v>
      </c>
      <c r="AD63" s="276" t="s">
        <v>415</v>
      </c>
      <c r="AE63" s="250" t="s">
        <v>415</v>
      </c>
      <c r="AF63" s="250"/>
      <c r="AG63" s="250"/>
    </row>
    <row r="64" spans="1:33" ht="12.75">
      <c r="A64" s="182" t="s">
        <v>508</v>
      </c>
      <c r="B64" s="182" t="s">
        <v>479</v>
      </c>
      <c r="C64" s="183" t="s">
        <v>415</v>
      </c>
      <c r="D64" s="184" t="s">
        <v>415</v>
      </c>
      <c r="E64" s="184" t="s">
        <v>415</v>
      </c>
      <c r="F64" s="185" t="s">
        <v>415</v>
      </c>
      <c r="G64" s="179">
        <v>0</v>
      </c>
      <c r="H64" s="180">
        <v>0</v>
      </c>
      <c r="I64" s="180">
        <v>0.1</v>
      </c>
      <c r="J64" s="181">
        <v>1.3</v>
      </c>
      <c r="K64" s="180">
        <v>1.7</v>
      </c>
      <c r="L64" s="180">
        <v>2.2</v>
      </c>
      <c r="M64" s="180">
        <v>2.2</v>
      </c>
      <c r="N64" s="180">
        <v>2.2</v>
      </c>
      <c r="O64" s="179">
        <v>2.2</v>
      </c>
      <c r="P64" s="180">
        <v>4.1</v>
      </c>
      <c r="Q64" s="180">
        <v>4.6</v>
      </c>
      <c r="R64" s="181">
        <v>5.1</v>
      </c>
      <c r="S64" s="184">
        <v>5.6</v>
      </c>
      <c r="T64" s="184">
        <v>6.3</v>
      </c>
      <c r="U64" s="184">
        <v>7.1</v>
      </c>
      <c r="V64" s="184">
        <v>7.9</v>
      </c>
      <c r="W64" s="183">
        <v>8.7</v>
      </c>
      <c r="X64" s="184">
        <v>9.4</v>
      </c>
      <c r="Y64" s="184">
        <v>12.2</v>
      </c>
      <c r="Z64" s="185">
        <v>13</v>
      </c>
      <c r="AA64" s="184">
        <v>13.6</v>
      </c>
      <c r="AB64" s="184">
        <v>14.2</v>
      </c>
      <c r="AC64" s="184">
        <v>10.3</v>
      </c>
      <c r="AD64" s="185">
        <v>10.3</v>
      </c>
      <c r="AE64" s="184">
        <v>10.3</v>
      </c>
      <c r="AF64" s="184"/>
      <c r="AG64" s="184"/>
    </row>
    <row r="65" spans="1:33" ht="20.25">
      <c r="A65" s="182" t="s">
        <v>509</v>
      </c>
      <c r="B65" s="182" t="s">
        <v>480</v>
      </c>
      <c r="C65" s="183" t="s">
        <v>415</v>
      </c>
      <c r="D65" s="184" t="s">
        <v>415</v>
      </c>
      <c r="E65" s="184" t="s">
        <v>415</v>
      </c>
      <c r="F65" s="185" t="s">
        <v>415</v>
      </c>
      <c r="G65" s="179">
        <v>13.5</v>
      </c>
      <c r="H65" s="180">
        <v>22.8</v>
      </c>
      <c r="I65" s="180">
        <v>31.6</v>
      </c>
      <c r="J65" s="181">
        <v>27.7</v>
      </c>
      <c r="K65" s="180">
        <v>26.1</v>
      </c>
      <c r="L65" s="180">
        <v>19.3</v>
      </c>
      <c r="M65" s="180">
        <v>13.7</v>
      </c>
      <c r="N65" s="180">
        <v>15.3</v>
      </c>
      <c r="O65" s="179">
        <v>8.7</v>
      </c>
      <c r="P65" s="180">
        <v>8.7</v>
      </c>
      <c r="Q65" s="180">
        <v>0.4</v>
      </c>
      <c r="R65" s="181">
        <v>1.8</v>
      </c>
      <c r="S65" s="184">
        <v>18</v>
      </c>
      <c r="T65" s="184">
        <v>22.2</v>
      </c>
      <c r="U65" s="184">
        <v>0.2</v>
      </c>
      <c r="V65" s="184">
        <v>0</v>
      </c>
      <c r="W65" s="183">
        <v>0</v>
      </c>
      <c r="X65" s="184">
        <v>11</v>
      </c>
      <c r="Y65" s="184">
        <v>0</v>
      </c>
      <c r="Z65" s="185">
        <v>0</v>
      </c>
      <c r="AA65" s="184">
        <v>0</v>
      </c>
      <c r="AB65" s="184">
        <v>0</v>
      </c>
      <c r="AC65" s="184">
        <v>0</v>
      </c>
      <c r="AD65" s="185">
        <v>0</v>
      </c>
      <c r="AE65" s="184">
        <v>0</v>
      </c>
      <c r="AF65" s="184"/>
      <c r="AG65" s="184"/>
    </row>
    <row r="66" spans="1:33" ht="12.75">
      <c r="A66" s="182" t="s">
        <v>510</v>
      </c>
      <c r="B66" s="182" t="s">
        <v>481</v>
      </c>
      <c r="C66" s="183" t="s">
        <v>415</v>
      </c>
      <c r="D66" s="184" t="s">
        <v>415</v>
      </c>
      <c r="E66" s="184" t="s">
        <v>415</v>
      </c>
      <c r="F66" s="185" t="s">
        <v>415</v>
      </c>
      <c r="G66" s="179">
        <v>274.2</v>
      </c>
      <c r="H66" s="180">
        <v>274.2</v>
      </c>
      <c r="I66" s="180">
        <v>274.2</v>
      </c>
      <c r="J66" s="181">
        <v>274.2</v>
      </c>
      <c r="K66" s="180">
        <v>290.8</v>
      </c>
      <c r="L66" s="180">
        <v>290.8</v>
      </c>
      <c r="M66" s="180">
        <v>290.8</v>
      </c>
      <c r="N66" s="180">
        <v>290.8</v>
      </c>
      <c r="O66" s="179">
        <v>326.9</v>
      </c>
      <c r="P66" s="180">
        <v>326.9</v>
      </c>
      <c r="Q66" s="180">
        <v>326.9</v>
      </c>
      <c r="R66" s="181">
        <v>326.9</v>
      </c>
      <c r="S66" s="184">
        <v>361.7</v>
      </c>
      <c r="T66" s="184">
        <v>361.7</v>
      </c>
      <c r="U66" s="184">
        <v>361.7</v>
      </c>
      <c r="V66" s="184">
        <v>364.6</v>
      </c>
      <c r="W66" s="183">
        <v>405.9</v>
      </c>
      <c r="X66" s="184">
        <v>405.9</v>
      </c>
      <c r="Y66" s="184">
        <v>405.9</v>
      </c>
      <c r="Z66" s="185">
        <v>405.9</v>
      </c>
      <c r="AA66" s="184">
        <v>437.6</v>
      </c>
      <c r="AB66" s="184">
        <v>437.6</v>
      </c>
      <c r="AC66" s="184">
        <v>437.6</v>
      </c>
      <c r="AD66" s="185">
        <v>437.6</v>
      </c>
      <c r="AE66" s="184">
        <v>459.3</v>
      </c>
      <c r="AF66" s="184"/>
      <c r="AG66" s="184"/>
    </row>
    <row r="67" spans="1:33" ht="12.75">
      <c r="A67" s="182" t="s">
        <v>511</v>
      </c>
      <c r="B67" s="182" t="s">
        <v>482</v>
      </c>
      <c r="C67" s="183" t="s">
        <v>415</v>
      </c>
      <c r="D67" s="184" t="s">
        <v>415</v>
      </c>
      <c r="E67" s="184" t="s">
        <v>415</v>
      </c>
      <c r="F67" s="185" t="s">
        <v>415</v>
      </c>
      <c r="G67" s="179">
        <v>17.2</v>
      </c>
      <c r="H67" s="180">
        <v>35.6</v>
      </c>
      <c r="I67" s="180">
        <v>58.3</v>
      </c>
      <c r="J67" s="181">
        <v>52</v>
      </c>
      <c r="K67" s="180">
        <v>33.9</v>
      </c>
      <c r="L67" s="180">
        <v>44.3</v>
      </c>
      <c r="M67" s="180">
        <v>39</v>
      </c>
      <c r="N67" s="180">
        <v>48</v>
      </c>
      <c r="O67" s="179">
        <v>44.5</v>
      </c>
      <c r="P67" s="180">
        <v>26.1</v>
      </c>
      <c r="Q67" s="180">
        <v>27.2</v>
      </c>
      <c r="R67" s="181">
        <v>19.7</v>
      </c>
      <c r="S67" s="184">
        <v>38.4</v>
      </c>
      <c r="T67" s="184">
        <v>31.3</v>
      </c>
      <c r="U67" s="184">
        <v>33.2</v>
      </c>
      <c r="V67" s="184">
        <v>24.8</v>
      </c>
      <c r="W67" s="183">
        <v>32.9</v>
      </c>
      <c r="X67" s="184">
        <v>21.7</v>
      </c>
      <c r="Y67" s="184">
        <v>28.2</v>
      </c>
      <c r="Z67" s="185">
        <v>31.4</v>
      </c>
      <c r="AA67" s="184">
        <v>24</v>
      </c>
      <c r="AB67" s="184">
        <v>36.6</v>
      </c>
      <c r="AC67" s="184">
        <v>28.9</v>
      </c>
      <c r="AD67" s="185">
        <v>24.5</v>
      </c>
      <c r="AE67" s="184">
        <v>57.8</v>
      </c>
      <c r="AF67" s="184"/>
      <c r="AG67" s="184"/>
    </row>
    <row r="68" spans="1:33" ht="12.75">
      <c r="A68" s="182" t="s">
        <v>512</v>
      </c>
      <c r="B68" s="182" t="s">
        <v>483</v>
      </c>
      <c r="C68" s="183" t="s">
        <v>415</v>
      </c>
      <c r="D68" s="184" t="s">
        <v>415</v>
      </c>
      <c r="E68" s="184" t="s">
        <v>415</v>
      </c>
      <c r="F68" s="185" t="s">
        <v>415</v>
      </c>
      <c r="G68" s="179">
        <v>0</v>
      </c>
      <c r="H68" s="180">
        <v>0</v>
      </c>
      <c r="I68" s="180">
        <v>0</v>
      </c>
      <c r="J68" s="181">
        <v>0</v>
      </c>
      <c r="K68" s="180">
        <v>0</v>
      </c>
      <c r="L68" s="180">
        <v>0</v>
      </c>
      <c r="M68" s="180">
        <v>0</v>
      </c>
      <c r="N68" s="180">
        <v>0</v>
      </c>
      <c r="O68" s="179">
        <v>0</v>
      </c>
      <c r="P68" s="180">
        <v>0</v>
      </c>
      <c r="Q68" s="180">
        <v>0</v>
      </c>
      <c r="R68" s="181">
        <v>12</v>
      </c>
      <c r="S68" s="184">
        <v>1.2</v>
      </c>
      <c r="T68" s="184">
        <v>0.9</v>
      </c>
      <c r="U68" s="184">
        <v>33.4</v>
      </c>
      <c r="V68" s="184">
        <v>0</v>
      </c>
      <c r="W68" s="183">
        <v>0</v>
      </c>
      <c r="X68" s="184">
        <v>0</v>
      </c>
      <c r="Y68" s="184">
        <v>0</v>
      </c>
      <c r="Z68" s="185">
        <v>0</v>
      </c>
      <c r="AA68" s="184">
        <v>0</v>
      </c>
      <c r="AB68" s="184">
        <v>0.7</v>
      </c>
      <c r="AC68" s="184">
        <v>0</v>
      </c>
      <c r="AD68" s="185">
        <v>0</v>
      </c>
      <c r="AE68" s="184">
        <v>0</v>
      </c>
      <c r="AF68" s="184"/>
      <c r="AG68" s="184"/>
    </row>
    <row r="69" spans="1:33" ht="12.75">
      <c r="A69" s="182" t="s">
        <v>650</v>
      </c>
      <c r="B69" s="182" t="s">
        <v>587</v>
      </c>
      <c r="C69" s="183" t="s">
        <v>415</v>
      </c>
      <c r="D69" s="184" t="s">
        <v>415</v>
      </c>
      <c r="E69" s="184" t="s">
        <v>415</v>
      </c>
      <c r="F69" s="185" t="s">
        <v>415</v>
      </c>
      <c r="G69" s="179">
        <v>0</v>
      </c>
      <c r="H69" s="180">
        <v>0</v>
      </c>
      <c r="I69" s="180">
        <v>0</v>
      </c>
      <c r="J69" s="181">
        <v>0</v>
      </c>
      <c r="K69" s="180">
        <v>0</v>
      </c>
      <c r="L69" s="180">
        <v>0</v>
      </c>
      <c r="M69" s="180">
        <v>0</v>
      </c>
      <c r="N69" s="180">
        <v>0</v>
      </c>
      <c r="O69" s="179">
        <v>0</v>
      </c>
      <c r="P69" s="180">
        <v>0</v>
      </c>
      <c r="Q69" s="180">
        <v>0</v>
      </c>
      <c r="R69" s="181">
        <v>0</v>
      </c>
      <c r="S69" s="184">
        <v>0</v>
      </c>
      <c r="T69" s="184">
        <v>0</v>
      </c>
      <c r="U69" s="184">
        <v>0</v>
      </c>
      <c r="V69" s="184">
        <v>0</v>
      </c>
      <c r="W69" s="183">
        <v>0</v>
      </c>
      <c r="X69" s="184">
        <v>0</v>
      </c>
      <c r="Y69" s="184">
        <v>0</v>
      </c>
      <c r="Z69" s="185">
        <v>0</v>
      </c>
      <c r="AA69" s="184">
        <v>0</v>
      </c>
      <c r="AB69" s="184">
        <v>0</v>
      </c>
      <c r="AC69" s="184">
        <v>26.7</v>
      </c>
      <c r="AD69" s="185">
        <v>0</v>
      </c>
      <c r="AE69" s="184">
        <v>0</v>
      </c>
      <c r="AF69" s="184"/>
      <c r="AG69" s="184"/>
    </row>
    <row r="70" spans="1:33" ht="13.5" thickBot="1">
      <c r="A70" s="182"/>
      <c r="B70" s="182"/>
      <c r="C70" s="183"/>
      <c r="D70" s="184"/>
      <c r="E70" s="184"/>
      <c r="F70" s="185"/>
      <c r="G70" s="179"/>
      <c r="H70" s="180"/>
      <c r="I70" s="180"/>
      <c r="J70" s="181"/>
      <c r="K70" s="180"/>
      <c r="L70" s="180"/>
      <c r="M70" s="180"/>
      <c r="N70" s="180"/>
      <c r="O70" s="179"/>
      <c r="P70" s="180"/>
      <c r="Q70" s="180"/>
      <c r="R70" s="181"/>
      <c r="S70" s="184"/>
      <c r="T70" s="184"/>
      <c r="U70" s="184"/>
      <c r="V70" s="184"/>
      <c r="W70" s="183"/>
      <c r="X70" s="184"/>
      <c r="Y70" s="184"/>
      <c r="Z70" s="185"/>
      <c r="AA70" s="184"/>
      <c r="AB70" s="184"/>
      <c r="AC70" s="184"/>
      <c r="AD70" s="185"/>
      <c r="AE70" s="184"/>
      <c r="AF70" s="184"/>
      <c r="AG70" s="184"/>
    </row>
    <row r="71" spans="1:33" ht="24" thickBot="1">
      <c r="A71" s="219" t="s">
        <v>517</v>
      </c>
      <c r="B71" s="219" t="s">
        <v>484</v>
      </c>
      <c r="C71" s="220" t="s">
        <v>415</v>
      </c>
      <c r="D71" s="221" t="s">
        <v>415</v>
      </c>
      <c r="E71" s="221" t="s">
        <v>415</v>
      </c>
      <c r="F71" s="222" t="s">
        <v>415</v>
      </c>
      <c r="G71" s="220" t="s">
        <v>415</v>
      </c>
      <c r="H71" s="221" t="s">
        <v>415</v>
      </c>
      <c r="I71" s="221" t="s">
        <v>415</v>
      </c>
      <c r="J71" s="222" t="s">
        <v>415</v>
      </c>
      <c r="K71" s="221" t="s">
        <v>415</v>
      </c>
      <c r="L71" s="221" t="s">
        <v>415</v>
      </c>
      <c r="M71" s="221" t="s">
        <v>415</v>
      </c>
      <c r="N71" s="221" t="s">
        <v>415</v>
      </c>
      <c r="O71" s="220" t="s">
        <v>415</v>
      </c>
      <c r="P71" s="221" t="s">
        <v>415</v>
      </c>
      <c r="Q71" s="221" t="s">
        <v>415</v>
      </c>
      <c r="R71" s="222" t="s">
        <v>415</v>
      </c>
      <c r="S71" s="221" t="s">
        <v>415</v>
      </c>
      <c r="T71" s="221" t="s">
        <v>415</v>
      </c>
      <c r="U71" s="221" t="s">
        <v>415</v>
      </c>
      <c r="V71" s="221">
        <f aca="true" t="shared" si="19" ref="V71:AA71">SUM(V62,V64:V69)-V63</f>
        <v>3244.9</v>
      </c>
      <c r="W71" s="220">
        <f t="shared" si="19"/>
        <v>3577.1000000000004</v>
      </c>
      <c r="X71" s="221">
        <f t="shared" si="19"/>
        <v>3652.9</v>
      </c>
      <c r="Y71" s="221">
        <f t="shared" si="19"/>
        <v>3423.4999999999995</v>
      </c>
      <c r="Z71" s="222">
        <f t="shared" si="19"/>
        <v>3292</v>
      </c>
      <c r="AA71" s="221">
        <f t="shared" si="19"/>
        <v>3229.7</v>
      </c>
      <c r="AB71" s="221">
        <f>SUM(AB62:AB69)</f>
        <v>3463.8999999999996</v>
      </c>
      <c r="AC71" s="221">
        <f>SUM(AC62:AC69)</f>
        <v>3348</v>
      </c>
      <c r="AD71" s="222">
        <f>SUM(AD62:AD69)</f>
        <v>3372.5</v>
      </c>
      <c r="AE71" s="221">
        <f>SUM(AE62:AE69)</f>
        <v>3604.7000000000007</v>
      </c>
      <c r="AF71" s="221">
        <v>3705.0000000000005</v>
      </c>
      <c r="AG71" s="221">
        <v>3937</v>
      </c>
    </row>
    <row r="72" spans="1:33" ht="13.5" thickBot="1">
      <c r="A72" s="186"/>
      <c r="B72" s="186"/>
      <c r="C72" s="179"/>
      <c r="D72" s="180"/>
      <c r="E72" s="180"/>
      <c r="F72" s="181"/>
      <c r="G72" s="179"/>
      <c r="H72" s="180"/>
      <c r="I72" s="180"/>
      <c r="J72" s="181"/>
      <c r="K72" s="180"/>
      <c r="L72" s="180"/>
      <c r="M72" s="180"/>
      <c r="N72" s="180"/>
      <c r="O72" s="179"/>
      <c r="P72" s="180"/>
      <c r="Q72" s="180"/>
      <c r="R72" s="181"/>
      <c r="S72" s="184"/>
      <c r="T72" s="184"/>
      <c r="U72" s="184"/>
      <c r="V72" s="184"/>
      <c r="W72" s="183"/>
      <c r="X72" s="184"/>
      <c r="Y72" s="184"/>
      <c r="Z72" s="185"/>
      <c r="AA72" s="184"/>
      <c r="AB72" s="184"/>
      <c r="AC72" s="184"/>
      <c r="AD72" s="185"/>
      <c r="AE72" s="184"/>
      <c r="AF72" s="184"/>
      <c r="AG72" s="184"/>
    </row>
    <row r="73" spans="1:33" ht="24" thickBot="1">
      <c r="A73" s="219" t="s">
        <v>518</v>
      </c>
      <c r="B73" s="219" t="s">
        <v>485</v>
      </c>
      <c r="C73" s="220">
        <v>1678.5</v>
      </c>
      <c r="D73" s="221">
        <v>1792.3</v>
      </c>
      <c r="E73" s="221">
        <v>1907</v>
      </c>
      <c r="F73" s="222">
        <v>1819.4</v>
      </c>
      <c r="G73" s="220">
        <f aca="true" t="shared" si="20" ref="G73:W73">SUM(G62,G64:G68)</f>
        <v>2362.2999999999997</v>
      </c>
      <c r="H73" s="221">
        <f t="shared" si="20"/>
        <v>2316</v>
      </c>
      <c r="I73" s="221">
        <f t="shared" si="20"/>
        <v>2552.5</v>
      </c>
      <c r="J73" s="222">
        <f t="shared" si="20"/>
        <v>2935.5</v>
      </c>
      <c r="K73" s="221">
        <f t="shared" si="20"/>
        <v>2971.8</v>
      </c>
      <c r="L73" s="221">
        <f t="shared" si="20"/>
        <v>2860.0000000000005</v>
      </c>
      <c r="M73" s="221">
        <f t="shared" si="20"/>
        <v>2761.7</v>
      </c>
      <c r="N73" s="221">
        <f t="shared" si="20"/>
        <v>2788.3</v>
      </c>
      <c r="O73" s="220">
        <f t="shared" si="20"/>
        <v>2780.3999999999996</v>
      </c>
      <c r="P73" s="221">
        <f t="shared" si="20"/>
        <v>2861.7999999999997</v>
      </c>
      <c r="Q73" s="221">
        <f t="shared" si="20"/>
        <v>2940.7</v>
      </c>
      <c r="R73" s="222">
        <f t="shared" si="20"/>
        <v>2947.1</v>
      </c>
      <c r="S73" s="221">
        <f t="shared" si="20"/>
        <v>3149.9999999999995</v>
      </c>
      <c r="T73" s="221">
        <f t="shared" si="20"/>
        <v>3228.5</v>
      </c>
      <c r="U73" s="221">
        <f t="shared" si="20"/>
        <v>3491.7999999999993</v>
      </c>
      <c r="V73" s="221">
        <f t="shared" si="20"/>
        <v>3573.9</v>
      </c>
      <c r="W73" s="220">
        <f t="shared" si="20"/>
        <v>3862.3</v>
      </c>
      <c r="X73" s="221">
        <f>SUM(X62,X64:X68)</f>
        <v>3793.7000000000003</v>
      </c>
      <c r="Y73" s="221">
        <f>SUM(Y62,Y64:Y68)</f>
        <v>3795.8999999999996</v>
      </c>
      <c r="Z73" s="222">
        <f>SUM(Z62,Z64:Z68)</f>
        <v>3736.1</v>
      </c>
      <c r="AA73" s="221">
        <f>SUM(AA62,AA64:AA68)</f>
        <v>3704.7</v>
      </c>
      <c r="AB73" s="221" t="s">
        <v>415</v>
      </c>
      <c r="AC73" s="221" t="s">
        <v>415</v>
      </c>
      <c r="AD73" s="222" t="s">
        <v>415</v>
      </c>
      <c r="AE73" s="221" t="s">
        <v>415</v>
      </c>
      <c r="AF73" s="221" t="s">
        <v>415</v>
      </c>
      <c r="AG73" s="221" t="s">
        <v>415</v>
      </c>
    </row>
    <row r="74" spans="1:33" ht="12.75">
      <c r="A74" s="186"/>
      <c r="B74" s="186"/>
      <c r="C74" s="179"/>
      <c r="D74" s="180"/>
      <c r="E74" s="180"/>
      <c r="F74" s="181"/>
      <c r="G74" s="179"/>
      <c r="H74" s="180"/>
      <c r="I74" s="180"/>
      <c r="J74" s="181"/>
      <c r="K74" s="180"/>
      <c r="L74" s="180"/>
      <c r="M74" s="180"/>
      <c r="N74" s="180"/>
      <c r="O74" s="179"/>
      <c r="P74" s="180"/>
      <c r="Q74" s="180"/>
      <c r="R74" s="181"/>
      <c r="S74" s="184"/>
      <c r="T74" s="184"/>
      <c r="U74" s="184"/>
      <c r="V74" s="184"/>
      <c r="W74" s="183"/>
      <c r="X74" s="184"/>
      <c r="Y74" s="184"/>
      <c r="Z74" s="185"/>
      <c r="AA74" s="184"/>
      <c r="AB74" s="184"/>
      <c r="AC74" s="184"/>
      <c r="AD74" s="185"/>
      <c r="AE74" s="184"/>
      <c r="AF74" s="184"/>
      <c r="AG74" s="184"/>
    </row>
    <row r="75" spans="1:33" ht="12.75">
      <c r="A75" s="187" t="s">
        <v>683</v>
      </c>
      <c r="B75" s="187" t="s">
        <v>655</v>
      </c>
      <c r="C75" s="188">
        <f>C77</f>
        <v>0.1374</v>
      </c>
      <c r="D75" s="189">
        <f aca="true" t="shared" si="21" ref="D75:U75">D77</f>
        <v>0.1341</v>
      </c>
      <c r="E75" s="189">
        <f t="shared" si="21"/>
        <v>0.1305</v>
      </c>
      <c r="F75" s="190">
        <f t="shared" si="21"/>
        <v>0.1312</v>
      </c>
      <c r="G75" s="188">
        <f t="shared" si="21"/>
        <v>0.1102</v>
      </c>
      <c r="H75" s="189">
        <f t="shared" si="21"/>
        <v>0.1122</v>
      </c>
      <c r="I75" s="189">
        <f t="shared" si="21"/>
        <v>0.119</v>
      </c>
      <c r="J75" s="190">
        <f t="shared" si="21"/>
        <v>0.1039</v>
      </c>
      <c r="K75" s="189">
        <f t="shared" si="21"/>
        <v>0.101</v>
      </c>
      <c r="L75" s="189">
        <f t="shared" si="21"/>
        <v>0.1087</v>
      </c>
      <c r="M75" s="189">
        <f t="shared" si="21"/>
        <v>0.1207</v>
      </c>
      <c r="N75" s="189">
        <f t="shared" si="21"/>
        <v>0.1201</v>
      </c>
      <c r="O75" s="188">
        <f t="shared" si="21"/>
        <v>0.13</v>
      </c>
      <c r="P75" s="189">
        <f t="shared" si="21"/>
        <v>0.1256</v>
      </c>
      <c r="Q75" s="189">
        <f t="shared" si="21"/>
        <v>0.133</v>
      </c>
      <c r="R75" s="190">
        <f t="shared" si="21"/>
        <v>0.1315</v>
      </c>
      <c r="S75" s="189">
        <f t="shared" si="21"/>
        <v>0.1274</v>
      </c>
      <c r="T75" s="189">
        <f t="shared" si="21"/>
        <v>0.1261</v>
      </c>
      <c r="U75" s="189">
        <f t="shared" si="21"/>
        <v>0.1256</v>
      </c>
      <c r="V75" s="189">
        <f aca="true" t="shared" si="22" ref="V75:AA75">ROUND(V51/(V73*12.5),4)</f>
        <v>0.1192</v>
      </c>
      <c r="W75" s="188">
        <f t="shared" si="22"/>
        <v>0.1211</v>
      </c>
      <c r="X75" s="189">
        <f t="shared" si="22"/>
        <v>0.1298</v>
      </c>
      <c r="Y75" s="189">
        <f t="shared" si="22"/>
        <v>0.1367</v>
      </c>
      <c r="Z75" s="190">
        <f t="shared" si="22"/>
        <v>0.1455</v>
      </c>
      <c r="AA75" s="189">
        <f t="shared" si="22"/>
        <v>0.1515</v>
      </c>
      <c r="AB75" s="189">
        <f aca="true" t="shared" si="23" ref="AB75:AG75">AB76</f>
        <v>0.1583</v>
      </c>
      <c r="AC75" s="189">
        <f t="shared" si="23"/>
        <v>0.1739</v>
      </c>
      <c r="AD75" s="190">
        <f t="shared" si="23"/>
        <v>0.1728</v>
      </c>
      <c r="AE75" s="189">
        <f t="shared" si="23"/>
        <v>0.1457</v>
      </c>
      <c r="AF75" s="189">
        <f t="shared" si="23"/>
        <v>0.1504</v>
      </c>
      <c r="AG75" s="189">
        <f t="shared" si="23"/>
        <v>0.1418</v>
      </c>
    </row>
    <row r="76" spans="1:33" s="236" customFormat="1" ht="9.75">
      <c r="A76" s="237" t="s">
        <v>684</v>
      </c>
      <c r="B76" s="238" t="s">
        <v>656</v>
      </c>
      <c r="C76" s="239" t="s">
        <v>415</v>
      </c>
      <c r="D76" s="240" t="s">
        <v>415</v>
      </c>
      <c r="E76" s="240" t="s">
        <v>415</v>
      </c>
      <c r="F76" s="241" t="s">
        <v>415</v>
      </c>
      <c r="G76" s="239" t="s">
        <v>415</v>
      </c>
      <c r="H76" s="240" t="s">
        <v>415</v>
      </c>
      <c r="I76" s="240" t="s">
        <v>415</v>
      </c>
      <c r="J76" s="241" t="s">
        <v>415</v>
      </c>
      <c r="K76" s="240" t="s">
        <v>415</v>
      </c>
      <c r="L76" s="240" t="s">
        <v>415</v>
      </c>
      <c r="M76" s="240" t="s">
        <v>415</v>
      </c>
      <c r="N76" s="240" t="s">
        <v>415</v>
      </c>
      <c r="O76" s="239" t="s">
        <v>415</v>
      </c>
      <c r="P76" s="240" t="s">
        <v>415</v>
      </c>
      <c r="Q76" s="240" t="s">
        <v>415</v>
      </c>
      <c r="R76" s="241" t="s">
        <v>415</v>
      </c>
      <c r="S76" s="240" t="s">
        <v>415</v>
      </c>
      <c r="T76" s="240" t="s">
        <v>415</v>
      </c>
      <c r="U76" s="240" t="s">
        <v>415</v>
      </c>
      <c r="V76" s="240">
        <f aca="true" t="shared" si="24" ref="V76:AB76">ROUND(V51/(V71*12.5),4)</f>
        <v>0.1313</v>
      </c>
      <c r="W76" s="239">
        <f t="shared" si="24"/>
        <v>0.1307</v>
      </c>
      <c r="X76" s="240">
        <f t="shared" si="24"/>
        <v>0.1349</v>
      </c>
      <c r="Y76" s="240">
        <f t="shared" si="24"/>
        <v>0.1516</v>
      </c>
      <c r="Z76" s="241">
        <f t="shared" si="24"/>
        <v>0.1652</v>
      </c>
      <c r="AA76" s="240">
        <f t="shared" si="24"/>
        <v>0.1738</v>
      </c>
      <c r="AB76" s="240">
        <f t="shared" si="24"/>
        <v>0.1583</v>
      </c>
      <c r="AC76" s="240">
        <f>ROUND(AC51/(AC71*12.5),4)</f>
        <v>0.1739</v>
      </c>
      <c r="AD76" s="241">
        <f>ROUND(AD51/(AD71*12.5),4)</f>
        <v>0.1728</v>
      </c>
      <c r="AE76" s="240">
        <f>ROUND(AE51/(AE71*12.5),4)</f>
        <v>0.1457</v>
      </c>
      <c r="AF76" s="240">
        <f>ROUND(AF51/(AF71*12.5),4)</f>
        <v>0.1504</v>
      </c>
      <c r="AG76" s="240">
        <f>ROUND(AG51/(AG71*12.5),4)</f>
        <v>0.1418</v>
      </c>
    </row>
    <row r="77" spans="1:33" s="236" customFormat="1" ht="9.75">
      <c r="A77" s="238" t="s">
        <v>685</v>
      </c>
      <c r="B77" s="238" t="s">
        <v>657</v>
      </c>
      <c r="C77" s="239">
        <f aca="true" t="shared" si="25" ref="C77:W77">ROUND(C56/(C73*12.5),4)</f>
        <v>0.1374</v>
      </c>
      <c r="D77" s="240">
        <f t="shared" si="25"/>
        <v>0.1341</v>
      </c>
      <c r="E77" s="240">
        <f t="shared" si="25"/>
        <v>0.1305</v>
      </c>
      <c r="F77" s="241">
        <f t="shared" si="25"/>
        <v>0.1312</v>
      </c>
      <c r="G77" s="239">
        <f t="shared" si="25"/>
        <v>0.1102</v>
      </c>
      <c r="H77" s="240">
        <f t="shared" si="25"/>
        <v>0.1122</v>
      </c>
      <c r="I77" s="240">
        <f t="shared" si="25"/>
        <v>0.119</v>
      </c>
      <c r="J77" s="241">
        <f t="shared" si="25"/>
        <v>0.1039</v>
      </c>
      <c r="K77" s="240">
        <f t="shared" si="25"/>
        <v>0.101</v>
      </c>
      <c r="L77" s="240">
        <f t="shared" si="25"/>
        <v>0.1087</v>
      </c>
      <c r="M77" s="240">
        <f t="shared" si="25"/>
        <v>0.1207</v>
      </c>
      <c r="N77" s="240">
        <f t="shared" si="25"/>
        <v>0.1201</v>
      </c>
      <c r="O77" s="239">
        <f t="shared" si="25"/>
        <v>0.13</v>
      </c>
      <c r="P77" s="240">
        <f t="shared" si="25"/>
        <v>0.1256</v>
      </c>
      <c r="Q77" s="240">
        <f t="shared" si="25"/>
        <v>0.133</v>
      </c>
      <c r="R77" s="241">
        <f t="shared" si="25"/>
        <v>0.1315</v>
      </c>
      <c r="S77" s="240">
        <f t="shared" si="25"/>
        <v>0.1274</v>
      </c>
      <c r="T77" s="240">
        <f t="shared" si="25"/>
        <v>0.1261</v>
      </c>
      <c r="U77" s="240">
        <f t="shared" si="25"/>
        <v>0.1256</v>
      </c>
      <c r="V77" s="240">
        <f t="shared" si="25"/>
        <v>0.1227</v>
      </c>
      <c r="W77" s="239">
        <f t="shared" si="25"/>
        <v>0.1243</v>
      </c>
      <c r="X77" s="240">
        <f>ROUND(X56/(X73*12.5),4)</f>
        <v>0.1328</v>
      </c>
      <c r="Y77" s="240">
        <f>ROUND(Y56/(Y73*12.5),4)</f>
        <v>0.1397</v>
      </c>
      <c r="Z77" s="241">
        <f>ROUND(Z56/(Z73*12.5),4)</f>
        <v>0.1483</v>
      </c>
      <c r="AA77" s="240">
        <f>ROUND(AA56/(AA73*12.5),4)</f>
        <v>0.1545</v>
      </c>
      <c r="AB77" s="240" t="s">
        <v>415</v>
      </c>
      <c r="AC77" s="240" t="s">
        <v>415</v>
      </c>
      <c r="AD77" s="241" t="s">
        <v>415</v>
      </c>
      <c r="AE77" s="240" t="s">
        <v>415</v>
      </c>
      <c r="AF77" s="240" t="s">
        <v>415</v>
      </c>
      <c r="AG77" s="240" t="s">
        <v>415</v>
      </c>
    </row>
    <row r="78" spans="1:33" ht="12.75">
      <c r="A78" s="150"/>
      <c r="B78" s="150"/>
      <c r="C78" s="149"/>
      <c r="D78" s="150"/>
      <c r="E78" s="150"/>
      <c r="F78" s="151"/>
      <c r="G78" s="149"/>
      <c r="H78" s="150"/>
      <c r="I78" s="150"/>
      <c r="J78" s="151"/>
      <c r="K78" s="150"/>
      <c r="L78" s="150"/>
      <c r="M78" s="150"/>
      <c r="N78" s="150"/>
      <c r="O78" s="149"/>
      <c r="P78" s="150"/>
      <c r="Q78" s="150"/>
      <c r="R78" s="151"/>
      <c r="S78" s="332"/>
      <c r="T78" s="332"/>
      <c r="U78" s="332"/>
      <c r="V78" s="332"/>
      <c r="W78" s="333"/>
      <c r="X78" s="332"/>
      <c r="Y78" s="332"/>
      <c r="Z78" s="334"/>
      <c r="AA78" s="332"/>
      <c r="AB78" s="332"/>
      <c r="AC78" s="332"/>
      <c r="AD78" s="334"/>
      <c r="AE78" s="332"/>
      <c r="AF78" s="332"/>
      <c r="AG78" s="332"/>
    </row>
    <row r="79" spans="1:33" s="195" customFormat="1" ht="11.25">
      <c r="A79" s="191" t="s">
        <v>584</v>
      </c>
      <c r="B79" s="191" t="s">
        <v>568</v>
      </c>
      <c r="C79" s="192">
        <f>C81</f>
        <v>0.1345</v>
      </c>
      <c r="D79" s="192">
        <f aca="true" t="shared" si="26" ref="D79:U79">D81</f>
        <v>0.1337</v>
      </c>
      <c r="E79" s="192">
        <f t="shared" si="26"/>
        <v>0.1246</v>
      </c>
      <c r="F79" s="193">
        <f t="shared" si="26"/>
        <v>0.1271</v>
      </c>
      <c r="G79" s="192">
        <f t="shared" si="26"/>
        <v>0.1092</v>
      </c>
      <c r="H79" s="192">
        <f t="shared" si="26"/>
        <v>0.1102</v>
      </c>
      <c r="I79" s="192">
        <f t="shared" si="26"/>
        <v>0.1162</v>
      </c>
      <c r="J79" s="193">
        <f t="shared" si="26"/>
        <v>0.1017</v>
      </c>
      <c r="K79" s="194">
        <f t="shared" si="26"/>
        <v>0.101</v>
      </c>
      <c r="L79" s="192">
        <f t="shared" si="26"/>
        <v>0.1069</v>
      </c>
      <c r="M79" s="192">
        <f t="shared" si="26"/>
        <v>0.1191</v>
      </c>
      <c r="N79" s="192">
        <f t="shared" si="26"/>
        <v>0.1182</v>
      </c>
      <c r="O79" s="192">
        <f t="shared" si="26"/>
        <v>0.1284</v>
      </c>
      <c r="P79" s="192">
        <f t="shared" si="26"/>
        <v>0.1245</v>
      </c>
      <c r="Q79" s="192">
        <f t="shared" si="26"/>
        <v>0.1318</v>
      </c>
      <c r="R79" s="193">
        <f t="shared" si="26"/>
        <v>0.1308</v>
      </c>
      <c r="S79" s="335">
        <f t="shared" si="26"/>
        <v>0.1258</v>
      </c>
      <c r="T79" s="336">
        <f t="shared" si="26"/>
        <v>0.124</v>
      </c>
      <c r="U79" s="336">
        <f t="shared" si="26"/>
        <v>0.1247</v>
      </c>
      <c r="V79" s="336">
        <f aca="true" t="shared" si="27" ref="V79:AA79">ROUND(V52/(V73*12.5),4)</f>
        <v>0.1185</v>
      </c>
      <c r="W79" s="336">
        <f t="shared" si="27"/>
        <v>0.1202</v>
      </c>
      <c r="X79" s="335">
        <f t="shared" si="27"/>
        <v>0.1282</v>
      </c>
      <c r="Y79" s="335">
        <f t="shared" si="27"/>
        <v>0.1317</v>
      </c>
      <c r="Z79" s="337">
        <f t="shared" si="27"/>
        <v>0.1339</v>
      </c>
      <c r="AA79" s="335">
        <f t="shared" si="27"/>
        <v>0.1436</v>
      </c>
      <c r="AB79" s="335">
        <f aca="true" t="shared" si="28" ref="AB79:AG79">AB80</f>
        <v>0.1524</v>
      </c>
      <c r="AC79" s="335">
        <f t="shared" si="28"/>
        <v>0.1699</v>
      </c>
      <c r="AD79" s="337">
        <f t="shared" si="28"/>
        <v>0.1666</v>
      </c>
      <c r="AE79" s="335">
        <f t="shared" si="28"/>
        <v>0.1457</v>
      </c>
      <c r="AF79" s="335">
        <f t="shared" si="28"/>
        <v>0.1504</v>
      </c>
      <c r="AG79" s="335">
        <f t="shared" si="28"/>
        <v>0.1418</v>
      </c>
    </row>
    <row r="80" spans="1:33" s="236" customFormat="1" ht="9.75">
      <c r="A80" s="242" t="s">
        <v>520</v>
      </c>
      <c r="B80" s="242" t="s">
        <v>569</v>
      </c>
      <c r="C80" s="243" t="s">
        <v>415</v>
      </c>
      <c r="D80" s="244" t="s">
        <v>415</v>
      </c>
      <c r="E80" s="244" t="s">
        <v>415</v>
      </c>
      <c r="F80" s="245" t="s">
        <v>415</v>
      </c>
      <c r="G80" s="243" t="s">
        <v>415</v>
      </c>
      <c r="H80" s="244" t="s">
        <v>415</v>
      </c>
      <c r="I80" s="244" t="s">
        <v>415</v>
      </c>
      <c r="J80" s="245" t="s">
        <v>415</v>
      </c>
      <c r="K80" s="244" t="s">
        <v>415</v>
      </c>
      <c r="L80" s="244" t="s">
        <v>415</v>
      </c>
      <c r="M80" s="244" t="s">
        <v>415</v>
      </c>
      <c r="N80" s="244" t="s">
        <v>415</v>
      </c>
      <c r="O80" s="243" t="s">
        <v>415</v>
      </c>
      <c r="P80" s="244" t="s">
        <v>415</v>
      </c>
      <c r="Q80" s="244" t="s">
        <v>415</v>
      </c>
      <c r="R80" s="245" t="s">
        <v>415</v>
      </c>
      <c r="S80" s="244" t="s">
        <v>415</v>
      </c>
      <c r="T80" s="244" t="s">
        <v>415</v>
      </c>
      <c r="U80" s="244" t="s">
        <v>415</v>
      </c>
      <c r="V80" s="308">
        <f aca="true" t="shared" si="29" ref="V80:AB80">ROUND(V52/(V71*12.5),4)</f>
        <v>0.1305</v>
      </c>
      <c r="W80" s="308">
        <f t="shared" si="29"/>
        <v>0.1298</v>
      </c>
      <c r="X80" s="307">
        <f t="shared" si="29"/>
        <v>0.1331</v>
      </c>
      <c r="Y80" s="307">
        <f t="shared" si="29"/>
        <v>0.146</v>
      </c>
      <c r="Z80" s="338">
        <f t="shared" si="29"/>
        <v>0.152</v>
      </c>
      <c r="AA80" s="307">
        <f t="shared" si="29"/>
        <v>0.1647</v>
      </c>
      <c r="AB80" s="307">
        <f t="shared" si="29"/>
        <v>0.1524</v>
      </c>
      <c r="AC80" s="307">
        <f>ROUND(AC52/(AC71*12.5),4)</f>
        <v>0.1699</v>
      </c>
      <c r="AD80" s="338">
        <f>ROUND(AD52/(AD71*12.5),4)</f>
        <v>0.1666</v>
      </c>
      <c r="AE80" s="307">
        <f>ROUND((AE15+AE42)/(AE71*12.5),4)</f>
        <v>0.1457</v>
      </c>
      <c r="AF80" s="307">
        <f>ROUND((AF15+AF41)/(AF71*12.5),4)+AF50</f>
        <v>0.1504</v>
      </c>
      <c r="AG80" s="307">
        <f>ROUND((AG15+AG41)/(AG71*12.5),4)+AG50</f>
        <v>0.1418</v>
      </c>
    </row>
    <row r="81" spans="1:33" s="236" customFormat="1" ht="9.75">
      <c r="A81" s="248" t="s">
        <v>519</v>
      </c>
      <c r="B81" s="242" t="s">
        <v>570</v>
      </c>
      <c r="C81" s="246">
        <f aca="true" t="shared" si="30" ref="C81:W81">ROUND(C57/(C73*12.5),4)</f>
        <v>0.1345</v>
      </c>
      <c r="D81" s="246">
        <f t="shared" si="30"/>
        <v>0.1337</v>
      </c>
      <c r="E81" s="246">
        <f t="shared" si="30"/>
        <v>0.1246</v>
      </c>
      <c r="F81" s="249">
        <f t="shared" si="30"/>
        <v>0.1271</v>
      </c>
      <c r="G81" s="246">
        <f t="shared" si="30"/>
        <v>0.1092</v>
      </c>
      <c r="H81" s="246">
        <f t="shared" si="30"/>
        <v>0.1102</v>
      </c>
      <c r="I81" s="246">
        <f t="shared" si="30"/>
        <v>0.1162</v>
      </c>
      <c r="J81" s="249">
        <f t="shared" si="30"/>
        <v>0.1017</v>
      </c>
      <c r="K81" s="247">
        <f t="shared" si="30"/>
        <v>0.101</v>
      </c>
      <c r="L81" s="246">
        <f t="shared" si="30"/>
        <v>0.1069</v>
      </c>
      <c r="M81" s="246">
        <f t="shared" si="30"/>
        <v>0.1191</v>
      </c>
      <c r="N81" s="246">
        <f t="shared" si="30"/>
        <v>0.1182</v>
      </c>
      <c r="O81" s="246">
        <f t="shared" si="30"/>
        <v>0.1284</v>
      </c>
      <c r="P81" s="246">
        <f t="shared" si="30"/>
        <v>0.1245</v>
      </c>
      <c r="Q81" s="246">
        <f t="shared" si="30"/>
        <v>0.1318</v>
      </c>
      <c r="R81" s="249">
        <f t="shared" si="30"/>
        <v>0.1308</v>
      </c>
      <c r="S81" s="307">
        <f t="shared" si="30"/>
        <v>0.1258</v>
      </c>
      <c r="T81" s="308">
        <f t="shared" si="30"/>
        <v>0.124</v>
      </c>
      <c r="U81" s="308">
        <f t="shared" si="30"/>
        <v>0.1247</v>
      </c>
      <c r="V81" s="308">
        <f t="shared" si="30"/>
        <v>0.1217</v>
      </c>
      <c r="W81" s="308">
        <f t="shared" si="30"/>
        <v>0.1218</v>
      </c>
      <c r="X81" s="307">
        <f>ROUND(X57/(X73*12.5),4)</f>
        <v>0.1297</v>
      </c>
      <c r="Y81" s="307">
        <f>ROUND(Y57/(Y73*12.5),4)</f>
        <v>0.1332</v>
      </c>
      <c r="Z81" s="338">
        <f>ROUND(Z57/(Z73*12.5),4)</f>
        <v>0.1353</v>
      </c>
      <c r="AA81" s="307">
        <f>ROUND(AA57/(AA73*12.5),4)</f>
        <v>0.1451</v>
      </c>
      <c r="AB81" s="307" t="s">
        <v>415</v>
      </c>
      <c r="AC81" s="307" t="s">
        <v>415</v>
      </c>
      <c r="AD81" s="338" t="s">
        <v>415</v>
      </c>
      <c r="AE81" s="307" t="s">
        <v>415</v>
      </c>
      <c r="AF81" s="307" t="s">
        <v>415</v>
      </c>
      <c r="AG81" s="307" t="s">
        <v>415</v>
      </c>
    </row>
    <row r="84" spans="3:21" ht="12.75">
      <c r="C84" s="196"/>
      <c r="D84" s="196"/>
      <c r="E84" s="196"/>
      <c r="F84" s="196"/>
      <c r="G84" s="196"/>
      <c r="H84" s="196"/>
      <c r="I84" s="196"/>
      <c r="J84" s="196"/>
      <c r="K84" s="196"/>
      <c r="L84" s="196"/>
      <c r="M84" s="196"/>
      <c r="N84" s="196"/>
      <c r="O84" s="196"/>
      <c r="P84" s="196"/>
      <c r="Q84" s="196"/>
      <c r="R84" s="196"/>
      <c r="S84" s="196"/>
      <c r="T84" s="196"/>
      <c r="U84" s="196"/>
    </row>
    <row r="87" spans="3:31" ht="12.75">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row>
  </sheetData>
  <sheetProtection/>
  <mergeCells count="10">
    <mergeCell ref="A10:A11"/>
    <mergeCell ref="B10:B11"/>
    <mergeCell ref="C10:F10"/>
    <mergeCell ref="G10:J10"/>
    <mergeCell ref="K10:N10"/>
    <mergeCell ref="AE10:AG10"/>
    <mergeCell ref="O10:R10"/>
    <mergeCell ref="AA10:AD10"/>
    <mergeCell ref="S10:V10"/>
    <mergeCell ref="W10:Z10"/>
  </mergeCells>
  <printOptions/>
  <pageMargins left="0.25" right="0.25" top="0.75" bottom="0.75" header="0.3" footer="0.3"/>
  <pageSetup horizontalDpi="600" verticalDpi="600" orientation="landscape" paperSize="9" scale="35" r:id="rId3"/>
  <ignoredErrors>
    <ignoredError sqref="C46:AE46 C79:AD79 C77:AE78 C76:AD76 C55:AD61 C51:AD51 C52:AC52 C50:AE50 C47:AD49 C53:AD54 C75:AE75 C63:AE68 C62:AD62 C70:AE74 C69:AE69" formulaRange="1"/>
  </ignoredErrors>
  <legacyDrawing r:id="rId2"/>
</worksheet>
</file>

<file path=xl/worksheets/sheet14.xml><?xml version="1.0" encoding="utf-8"?>
<worksheet xmlns="http://schemas.openxmlformats.org/spreadsheetml/2006/main" xmlns:r="http://schemas.openxmlformats.org/officeDocument/2006/relationships">
  <dimension ref="A1:AJ19"/>
  <sheetViews>
    <sheetView showGridLines="0" view="pageBreakPreview" zoomScale="90" zoomScaleSheetLayoutView="90" zoomScalePageLayoutView="80" workbookViewId="0" topLeftCell="A1">
      <pane xSplit="2" ySplit="3" topLeftCell="D4" activePane="bottomRight" state="frozen"/>
      <selection pane="topLeft" activeCell="B2" sqref="B2:B3"/>
      <selection pane="topRight" activeCell="B2" sqref="B2:B3"/>
      <selection pane="bottomLeft" activeCell="B2" sqref="B2:B3"/>
      <selection pane="bottomRight" activeCell="E28" sqref="E28"/>
    </sheetView>
  </sheetViews>
  <sheetFormatPr defaultColWidth="9.00390625" defaultRowHeight="12.75" outlineLevelCol="1"/>
  <cols>
    <col min="1" max="1" width="45.50390625" style="2" customWidth="1"/>
    <col min="2" max="2" width="49.50390625" style="2" hidden="1" customWidth="1" outlineLevel="1"/>
    <col min="3" max="3" width="5.50390625" style="3" bestFit="1" customWidth="1" collapsed="1"/>
    <col min="4" max="29" width="5.50390625" style="3" bestFit="1" customWidth="1"/>
    <col min="30" max="32" width="5.50390625" style="3" customWidth="1"/>
    <col min="33" max="33" width="5.50390625" style="3" bestFit="1" customWidth="1"/>
    <col min="34" max="16384" width="8.875" style="3" customWidth="1"/>
  </cols>
  <sheetData>
    <row r="1" spans="1:2" ht="12.75">
      <c r="A1" s="259" t="s">
        <v>585</v>
      </c>
      <c r="B1" s="259" t="s">
        <v>586</v>
      </c>
    </row>
    <row r="2" spans="1:36" ht="12.75">
      <c r="A2" s="343" t="s">
        <v>347</v>
      </c>
      <c r="B2" s="343" t="s">
        <v>150</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1"/>
      <c r="AA2" s="340">
        <v>2013</v>
      </c>
      <c r="AB2" s="341"/>
      <c r="AC2" s="341"/>
      <c r="AD2" s="341"/>
      <c r="AE2" s="340">
        <v>2014</v>
      </c>
      <c r="AF2" s="341"/>
      <c r="AG2" s="341"/>
      <c r="AH2" s="262"/>
      <c r="AI2" s="262"/>
      <c r="AJ2" s="262"/>
    </row>
    <row r="3" spans="1:33" s="4" customFormat="1" ht="12.75">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5" t="s">
        <v>183</v>
      </c>
      <c r="AA3" s="34" t="s">
        <v>180</v>
      </c>
      <c r="AB3" s="35" t="s">
        <v>181</v>
      </c>
      <c r="AC3" s="35" t="s">
        <v>182</v>
      </c>
      <c r="AD3" s="35" t="s">
        <v>183</v>
      </c>
      <c r="AE3" s="34" t="s">
        <v>180</v>
      </c>
      <c r="AF3" s="35" t="s">
        <v>181</v>
      </c>
      <c r="AG3" s="35" t="s">
        <v>182</v>
      </c>
    </row>
    <row r="4" spans="1:33" s="4" customFormat="1" ht="12.75" customHeight="1">
      <c r="A4" s="20"/>
      <c r="B4" s="20"/>
      <c r="C4" s="16"/>
      <c r="D4" s="5"/>
      <c r="E4" s="5"/>
      <c r="F4" s="5"/>
      <c r="G4" s="16"/>
      <c r="H4" s="5"/>
      <c r="I4" s="5"/>
      <c r="J4" s="18"/>
      <c r="K4" s="16"/>
      <c r="L4" s="5"/>
      <c r="M4" s="5"/>
      <c r="N4" s="18"/>
      <c r="O4" s="16"/>
      <c r="P4" s="5"/>
      <c r="Q4" s="5"/>
      <c r="R4" s="18"/>
      <c r="S4" s="16"/>
      <c r="T4" s="5"/>
      <c r="U4" s="5"/>
      <c r="V4" s="18"/>
      <c r="W4" s="16"/>
      <c r="X4" s="5"/>
      <c r="Y4" s="5"/>
      <c r="Z4" s="5"/>
      <c r="AA4" s="16"/>
      <c r="AB4" s="5"/>
      <c r="AC4" s="5"/>
      <c r="AD4" s="5"/>
      <c r="AE4" s="16"/>
      <c r="AF4" s="5"/>
      <c r="AG4" s="5"/>
    </row>
    <row r="5" spans="1:33" s="7" customFormat="1" ht="12.75">
      <c r="A5" s="89" t="s">
        <v>348</v>
      </c>
      <c r="B5" s="89" t="s">
        <v>151</v>
      </c>
      <c r="C5" s="16"/>
      <c r="D5" s="5"/>
      <c r="E5" s="5"/>
      <c r="F5" s="5"/>
      <c r="G5" s="16"/>
      <c r="H5" s="5"/>
      <c r="I5" s="5"/>
      <c r="J5" s="18"/>
      <c r="K5" s="16"/>
      <c r="L5" s="5"/>
      <c r="M5" s="5"/>
      <c r="N5" s="18"/>
      <c r="O5" s="16"/>
      <c r="P5" s="5"/>
      <c r="Q5" s="5"/>
      <c r="R5" s="18"/>
      <c r="S5" s="16"/>
      <c r="T5" s="5"/>
      <c r="U5" s="5"/>
      <c r="V5" s="18"/>
      <c r="W5" s="16"/>
      <c r="X5" s="5"/>
      <c r="Y5" s="5"/>
      <c r="Z5" s="5"/>
      <c r="AA5" s="16"/>
      <c r="AB5" s="5"/>
      <c r="AC5" s="5"/>
      <c r="AD5" s="5"/>
      <c r="AE5" s="16"/>
      <c r="AF5" s="5"/>
      <c r="AG5" s="5"/>
    </row>
    <row r="6" spans="1:33" s="7" customFormat="1" ht="12.75">
      <c r="A6" s="38" t="s">
        <v>349</v>
      </c>
      <c r="B6" s="38" t="s">
        <v>152</v>
      </c>
      <c r="C6" s="16"/>
      <c r="D6" s="5"/>
      <c r="E6" s="5"/>
      <c r="F6" s="5"/>
      <c r="G6" s="16"/>
      <c r="H6" s="5"/>
      <c r="I6" s="5"/>
      <c r="J6" s="18"/>
      <c r="K6" s="16"/>
      <c r="L6" s="5"/>
      <c r="M6" s="5"/>
      <c r="N6" s="18"/>
      <c r="O6" s="16"/>
      <c r="P6" s="5"/>
      <c r="Q6" s="5"/>
      <c r="R6" s="18"/>
      <c r="S6" s="16"/>
      <c r="T6" s="5"/>
      <c r="U6" s="5"/>
      <c r="V6" s="18"/>
      <c r="W6" s="16"/>
      <c r="X6" s="5"/>
      <c r="Y6" s="5"/>
      <c r="Z6" s="5"/>
      <c r="AA6" s="16"/>
      <c r="AB6" s="5"/>
      <c r="AC6" s="5"/>
      <c r="AD6" s="5"/>
      <c r="AE6" s="16"/>
      <c r="AF6" s="5"/>
      <c r="AG6" s="5"/>
    </row>
    <row r="7" spans="1:33" s="7" customFormat="1" ht="12.75">
      <c r="A7" s="38" t="s">
        <v>350</v>
      </c>
      <c r="B7" s="38" t="s">
        <v>447</v>
      </c>
      <c r="C7" s="21">
        <v>7578</v>
      </c>
      <c r="D7" s="19">
        <v>7676</v>
      </c>
      <c r="E7" s="19">
        <v>7828</v>
      </c>
      <c r="F7" s="19">
        <v>8048</v>
      </c>
      <c r="G7" s="21">
        <v>8137</v>
      </c>
      <c r="H7" s="19">
        <v>8318</v>
      </c>
      <c r="I7" s="19">
        <v>8330</v>
      </c>
      <c r="J7" s="22">
        <v>8454</v>
      </c>
      <c r="K7" s="21">
        <v>8368</v>
      </c>
      <c r="L7" s="19">
        <v>8196</v>
      </c>
      <c r="M7" s="19">
        <v>8092</v>
      </c>
      <c r="N7" s="22">
        <v>8064</v>
      </c>
      <c r="O7" s="21">
        <v>8084</v>
      </c>
      <c r="P7" s="19">
        <v>8183</v>
      </c>
      <c r="Q7" s="19">
        <v>8366</v>
      </c>
      <c r="R7" s="22">
        <v>8314</v>
      </c>
      <c r="S7" s="21">
        <v>8358</v>
      </c>
      <c r="T7" s="19">
        <v>8357</v>
      </c>
      <c r="U7" s="19">
        <v>8212</v>
      </c>
      <c r="V7" s="22">
        <v>8214</v>
      </c>
      <c r="W7" s="21">
        <v>8478</v>
      </c>
      <c r="X7" s="19">
        <v>8529</v>
      </c>
      <c r="Y7" s="19">
        <v>8503</v>
      </c>
      <c r="Z7" s="19">
        <v>8473</v>
      </c>
      <c r="AA7" s="21">
        <v>8439</v>
      </c>
      <c r="AB7" s="19">
        <v>8381</v>
      </c>
      <c r="AC7" s="19">
        <v>8319</v>
      </c>
      <c r="AD7" s="19">
        <v>8266</v>
      </c>
      <c r="AE7" s="21">
        <v>8197</v>
      </c>
      <c r="AF7" s="19">
        <v>8172</v>
      </c>
      <c r="AG7" s="145">
        <v>8172</v>
      </c>
    </row>
    <row r="8" spans="1:33" s="4" customFormat="1" ht="12.75">
      <c r="A8" s="38" t="s">
        <v>351</v>
      </c>
      <c r="B8" s="38" t="s">
        <v>448</v>
      </c>
      <c r="C8" s="21">
        <v>7331.890625000001</v>
      </c>
      <c r="D8" s="19">
        <v>7417.3703125</v>
      </c>
      <c r="E8" s="19">
        <v>7578.3996875</v>
      </c>
      <c r="F8" s="19">
        <v>7792.974375</v>
      </c>
      <c r="G8" s="21">
        <v>7946.246875000001</v>
      </c>
      <c r="H8" s="19">
        <v>8125.224375</v>
      </c>
      <c r="I8" s="19">
        <v>8143.546250000001</v>
      </c>
      <c r="J8" s="22">
        <v>8279.62125</v>
      </c>
      <c r="K8" s="21">
        <v>8206.493125</v>
      </c>
      <c r="L8" s="19">
        <v>8048.772499999999</v>
      </c>
      <c r="M8" s="19">
        <v>7951.614062500001</v>
      </c>
      <c r="N8" s="22">
        <v>7914.1831250000005</v>
      </c>
      <c r="O8" s="21">
        <v>7931.975108695651</v>
      </c>
      <c r="P8" s="19">
        <v>8027.096428571427</v>
      </c>
      <c r="Q8" s="19">
        <v>8219.505397727273</v>
      </c>
      <c r="R8" s="22">
        <v>8158.847826086957</v>
      </c>
      <c r="S8" s="21">
        <v>8216.885</v>
      </c>
      <c r="T8" s="19">
        <v>8204.343</v>
      </c>
      <c r="U8" s="19">
        <v>8061.383</v>
      </c>
      <c r="V8" s="22">
        <v>8064.9039999999995</v>
      </c>
      <c r="W8" s="21">
        <v>8325.295999999998</v>
      </c>
      <c r="X8" s="19">
        <v>8370.622999999998</v>
      </c>
      <c r="Y8" s="19">
        <v>8335.273</v>
      </c>
      <c r="Z8" s="19">
        <v>8294.765</v>
      </c>
      <c r="AA8" s="21">
        <v>8261.225</v>
      </c>
      <c r="AB8" s="19">
        <v>8251.15</v>
      </c>
      <c r="AC8" s="19">
        <v>8206.17</v>
      </c>
      <c r="AD8" s="19">
        <v>8145.955</v>
      </c>
      <c r="AE8" s="21">
        <v>8078.862380952381</v>
      </c>
      <c r="AF8" s="19">
        <v>8100.2</v>
      </c>
      <c r="AG8" s="145">
        <v>8099.1</v>
      </c>
    </row>
    <row r="9" spans="1:33" s="9" customFormat="1" ht="12.75">
      <c r="A9" s="38" t="s">
        <v>352</v>
      </c>
      <c r="B9" s="38" t="s">
        <v>153</v>
      </c>
      <c r="C9" s="21"/>
      <c r="D9" s="19"/>
      <c r="E9" s="19"/>
      <c r="F9" s="19"/>
      <c r="G9" s="21"/>
      <c r="H9" s="19"/>
      <c r="I9" s="19"/>
      <c r="J9" s="22"/>
      <c r="K9" s="21"/>
      <c r="L9" s="19"/>
      <c r="M9" s="19"/>
      <c r="N9" s="22"/>
      <c r="O9" s="21"/>
      <c r="P9" s="19"/>
      <c r="Q9" s="19"/>
      <c r="R9" s="22"/>
      <c r="S9" s="21"/>
      <c r="T9" s="19"/>
      <c r="U9" s="19"/>
      <c r="V9" s="22"/>
      <c r="W9" s="21"/>
      <c r="X9" s="19"/>
      <c r="Y9" s="19"/>
      <c r="Z9" s="19"/>
      <c r="AA9" s="21"/>
      <c r="AB9" s="19"/>
      <c r="AC9" s="19"/>
      <c r="AD9" s="19"/>
      <c r="AE9" s="21"/>
      <c r="AF9" s="19"/>
      <c r="AG9" s="145"/>
    </row>
    <row r="10" spans="1:33" s="9" customFormat="1" ht="12.75">
      <c r="A10" s="38" t="s">
        <v>350</v>
      </c>
      <c r="B10" s="38" t="s">
        <v>447</v>
      </c>
      <c r="C10" s="21">
        <v>7338</v>
      </c>
      <c r="D10" s="19">
        <v>7439</v>
      </c>
      <c r="E10" s="19">
        <v>7588</v>
      </c>
      <c r="F10" s="19">
        <v>7816</v>
      </c>
      <c r="G10" s="21">
        <v>7905</v>
      </c>
      <c r="H10" s="19">
        <v>8082</v>
      </c>
      <c r="I10" s="19">
        <v>8096</v>
      </c>
      <c r="J10" s="22">
        <v>8214</v>
      </c>
      <c r="K10" s="21">
        <v>8131</v>
      </c>
      <c r="L10" s="19">
        <v>7966</v>
      </c>
      <c r="M10" s="19">
        <v>7850</v>
      </c>
      <c r="N10" s="22">
        <v>7827</v>
      </c>
      <c r="O10" s="21">
        <v>7846</v>
      </c>
      <c r="P10" s="19">
        <v>7946</v>
      </c>
      <c r="Q10" s="19">
        <v>8127</v>
      </c>
      <c r="R10" s="22">
        <v>8068</v>
      </c>
      <c r="S10" s="21">
        <v>8113</v>
      </c>
      <c r="T10" s="19">
        <v>8115</v>
      </c>
      <c r="U10" s="19">
        <v>7984</v>
      </c>
      <c r="V10" s="22">
        <v>8019</v>
      </c>
      <c r="W10" s="21">
        <v>8076</v>
      </c>
      <c r="X10" s="19">
        <v>8111</v>
      </c>
      <c r="Y10" s="19">
        <v>8059</v>
      </c>
      <c r="Z10" s="19">
        <v>8026</v>
      </c>
      <c r="AA10" s="21">
        <v>7996</v>
      </c>
      <c r="AB10" s="19">
        <v>7939</v>
      </c>
      <c r="AC10" s="19">
        <v>7870</v>
      </c>
      <c r="AD10" s="19">
        <v>7799</v>
      </c>
      <c r="AE10" s="21">
        <v>7732</v>
      </c>
      <c r="AF10" s="19">
        <v>7694</v>
      </c>
      <c r="AG10" s="145">
        <v>7707</v>
      </c>
    </row>
    <row r="11" spans="1:33" s="9" customFormat="1" ht="12.75">
      <c r="A11" s="38" t="s">
        <v>351</v>
      </c>
      <c r="B11" s="38" t="s">
        <v>448</v>
      </c>
      <c r="C11" s="21">
        <v>7104.140625000001</v>
      </c>
      <c r="D11" s="19">
        <v>7192.220312500001</v>
      </c>
      <c r="E11" s="19">
        <v>7349.8396875</v>
      </c>
      <c r="F11" s="19">
        <v>7573.714375</v>
      </c>
      <c r="G11" s="21">
        <v>7726.4868750000005</v>
      </c>
      <c r="H11" s="19">
        <v>7900.714375</v>
      </c>
      <c r="I11" s="19">
        <v>7920.786250000001</v>
      </c>
      <c r="J11" s="22">
        <v>8051.361250000001</v>
      </c>
      <c r="K11" s="21">
        <v>7981.433125</v>
      </c>
      <c r="L11" s="19">
        <v>7828.912499999999</v>
      </c>
      <c r="M11" s="19">
        <v>7720.5540625</v>
      </c>
      <c r="N11" s="22">
        <v>7687.373125</v>
      </c>
      <c r="O11" s="21">
        <v>7704.325108695652</v>
      </c>
      <c r="P11" s="19">
        <v>7800.4464285714275</v>
      </c>
      <c r="Q11" s="19">
        <v>7989.255397727273</v>
      </c>
      <c r="R11" s="22">
        <v>7920.847826086957</v>
      </c>
      <c r="S11" s="21">
        <v>7979.235</v>
      </c>
      <c r="T11" s="19">
        <v>7968.563</v>
      </c>
      <c r="U11" s="19">
        <v>7839.4529999999995</v>
      </c>
      <c r="V11" s="22">
        <v>7873.424</v>
      </c>
      <c r="W11" s="21">
        <v>7927.441</v>
      </c>
      <c r="X11" s="19">
        <v>7958.018</v>
      </c>
      <c r="Y11" s="19">
        <v>7903.593</v>
      </c>
      <c r="Z11" s="19">
        <v>7858.105</v>
      </c>
      <c r="AA11" s="21">
        <v>7832.865</v>
      </c>
      <c r="AB11" s="19">
        <v>7818.63</v>
      </c>
      <c r="AC11" s="19">
        <v>7764.610000000001</v>
      </c>
      <c r="AD11" s="19">
        <v>7695.345</v>
      </c>
      <c r="AE11" s="21">
        <v>7629.952380952381</v>
      </c>
      <c r="AF11" s="19">
        <v>7637.9</v>
      </c>
      <c r="AG11" s="145">
        <v>7649.5</v>
      </c>
    </row>
    <row r="12" spans="1:33" s="7" customFormat="1" ht="12.75">
      <c r="A12" s="38"/>
      <c r="B12" s="38"/>
      <c r="C12" s="21"/>
      <c r="D12" s="19"/>
      <c r="E12" s="19"/>
      <c r="F12" s="19"/>
      <c r="G12" s="21"/>
      <c r="H12" s="19"/>
      <c r="I12" s="19"/>
      <c r="J12" s="22"/>
      <c r="K12" s="21"/>
      <c r="L12" s="19"/>
      <c r="M12" s="19"/>
      <c r="N12" s="22"/>
      <c r="O12" s="21"/>
      <c r="P12" s="19"/>
      <c r="Q12" s="19"/>
      <c r="R12" s="22"/>
      <c r="S12" s="21"/>
      <c r="T12" s="19"/>
      <c r="U12" s="19"/>
      <c r="V12" s="22"/>
      <c r="W12" s="21"/>
      <c r="X12" s="19"/>
      <c r="Y12" s="19"/>
      <c r="Z12" s="19"/>
      <c r="AA12" s="21"/>
      <c r="AB12" s="19"/>
      <c r="AC12" s="19"/>
      <c r="AD12" s="19"/>
      <c r="AE12" s="21"/>
      <c r="AF12" s="19"/>
      <c r="AG12" s="19"/>
    </row>
    <row r="13" spans="1:33" s="9" customFormat="1" ht="12.75">
      <c r="A13" s="89" t="s">
        <v>353</v>
      </c>
      <c r="B13" s="89" t="s">
        <v>154</v>
      </c>
      <c r="C13" s="21">
        <v>350</v>
      </c>
      <c r="D13" s="19">
        <v>361</v>
      </c>
      <c r="E13" s="19">
        <v>375</v>
      </c>
      <c r="F13" s="19">
        <v>404</v>
      </c>
      <c r="G13" s="21">
        <v>415</v>
      </c>
      <c r="H13" s="19">
        <v>430</v>
      </c>
      <c r="I13" s="19">
        <v>432</v>
      </c>
      <c r="J13" s="22">
        <v>439</v>
      </c>
      <c r="K13" s="21">
        <v>439</v>
      </c>
      <c r="L13" s="19">
        <v>438</v>
      </c>
      <c r="M13" s="19">
        <v>438</v>
      </c>
      <c r="N13" s="22">
        <v>441</v>
      </c>
      <c r="O13" s="21">
        <v>441</v>
      </c>
      <c r="P13" s="19">
        <v>442</v>
      </c>
      <c r="Q13" s="19">
        <v>441</v>
      </c>
      <c r="R13" s="22">
        <v>443</v>
      </c>
      <c r="S13" s="21">
        <v>445</v>
      </c>
      <c r="T13" s="19">
        <v>443</v>
      </c>
      <c r="U13" s="19">
        <v>441</v>
      </c>
      <c r="V13" s="22">
        <v>439</v>
      </c>
      <c r="W13" s="21">
        <v>438</v>
      </c>
      <c r="X13" s="19">
        <v>437</v>
      </c>
      <c r="Y13" s="19">
        <v>432</v>
      </c>
      <c r="Z13" s="19">
        <v>426</v>
      </c>
      <c r="AA13" s="21">
        <v>423</v>
      </c>
      <c r="AB13" s="19">
        <v>421</v>
      </c>
      <c r="AC13" s="19">
        <v>421</v>
      </c>
      <c r="AD13" s="19">
        <v>417</v>
      </c>
      <c r="AE13" s="21">
        <v>412</v>
      </c>
      <c r="AF13" s="19">
        <v>409</v>
      </c>
      <c r="AG13" s="19">
        <v>407</v>
      </c>
    </row>
    <row r="14" spans="1:33" s="9" customFormat="1" ht="12.75">
      <c r="A14" s="38"/>
      <c r="B14" s="38"/>
      <c r="C14" s="21"/>
      <c r="D14" s="19"/>
      <c r="E14" s="19"/>
      <c r="F14" s="19"/>
      <c r="G14" s="21"/>
      <c r="H14" s="19"/>
      <c r="I14" s="19"/>
      <c r="J14" s="22"/>
      <c r="K14" s="21"/>
      <c r="L14" s="19"/>
      <c r="M14" s="19"/>
      <c r="N14" s="22"/>
      <c r="O14" s="21"/>
      <c r="P14" s="19"/>
      <c r="Q14" s="19"/>
      <c r="R14" s="22"/>
      <c r="S14" s="21"/>
      <c r="T14" s="19"/>
      <c r="U14" s="19"/>
      <c r="V14" s="22"/>
      <c r="W14" s="21"/>
      <c r="X14" s="19"/>
      <c r="Y14" s="19"/>
      <c r="Z14" s="19"/>
      <c r="AA14" s="21"/>
      <c r="AB14" s="19"/>
      <c r="AC14" s="19"/>
      <c r="AD14" s="19"/>
      <c r="AE14" s="21"/>
      <c r="AF14" s="19"/>
      <c r="AG14" s="19"/>
    </row>
    <row r="15" spans="1:33" s="9" customFormat="1" ht="12.75">
      <c r="A15" s="89" t="s">
        <v>354</v>
      </c>
      <c r="B15" s="89" t="s">
        <v>156</v>
      </c>
      <c r="C15" s="31"/>
      <c r="D15" s="32"/>
      <c r="E15" s="32"/>
      <c r="F15" s="32"/>
      <c r="G15" s="31"/>
      <c r="H15" s="32"/>
      <c r="I15" s="32"/>
      <c r="J15" s="33"/>
      <c r="K15" s="31"/>
      <c r="L15" s="32"/>
      <c r="M15" s="32"/>
      <c r="N15" s="33"/>
      <c r="O15" s="31"/>
      <c r="P15" s="32"/>
      <c r="Q15" s="32"/>
      <c r="R15" s="33"/>
      <c r="S15" s="31"/>
      <c r="T15" s="32"/>
      <c r="U15" s="32"/>
      <c r="V15" s="33"/>
      <c r="W15" s="31"/>
      <c r="X15" s="32"/>
      <c r="Y15" s="32"/>
      <c r="Z15" s="32"/>
      <c r="AA15" s="31"/>
      <c r="AB15" s="32"/>
      <c r="AC15" s="32"/>
      <c r="AD15" s="32"/>
      <c r="AE15" s="31"/>
      <c r="AF15" s="32"/>
      <c r="AG15" s="32"/>
    </row>
    <row r="16" spans="1:33" s="9" customFormat="1" ht="12.75">
      <c r="A16" s="38" t="s">
        <v>355</v>
      </c>
      <c r="B16" s="38" t="s">
        <v>155</v>
      </c>
      <c r="C16" s="144">
        <f>SUM(C17:C19)</f>
        <v>1572</v>
      </c>
      <c r="D16" s="145">
        <f aca="true" t="shared" si="0" ref="D16:X16">SUM(D17:D19)</f>
        <v>1619</v>
      </c>
      <c r="E16" s="145">
        <f t="shared" si="0"/>
        <v>1688</v>
      </c>
      <c r="F16" s="19">
        <f t="shared" si="0"/>
        <v>1777</v>
      </c>
      <c r="G16" s="21">
        <f t="shared" si="0"/>
        <v>1825</v>
      </c>
      <c r="H16" s="19">
        <f t="shared" si="0"/>
        <v>1904</v>
      </c>
      <c r="I16" s="19">
        <f t="shared" si="0"/>
        <v>1983</v>
      </c>
      <c r="J16" s="22">
        <f t="shared" si="0"/>
        <v>2003</v>
      </c>
      <c r="K16" s="21">
        <f t="shared" si="0"/>
        <v>2033</v>
      </c>
      <c r="L16" s="19">
        <f t="shared" si="0"/>
        <v>2056</v>
      </c>
      <c r="M16" s="19">
        <f t="shared" si="0"/>
        <v>2086</v>
      </c>
      <c r="N16" s="22">
        <f t="shared" si="0"/>
        <v>2082</v>
      </c>
      <c r="O16" s="21">
        <f t="shared" si="0"/>
        <v>2122</v>
      </c>
      <c r="P16" s="145">
        <f t="shared" si="0"/>
        <v>2166</v>
      </c>
      <c r="Q16" s="19">
        <f t="shared" si="0"/>
        <v>2226</v>
      </c>
      <c r="R16" s="22">
        <f t="shared" si="0"/>
        <v>2267</v>
      </c>
      <c r="S16" s="21">
        <f t="shared" si="0"/>
        <v>2300</v>
      </c>
      <c r="T16" s="19">
        <f t="shared" si="0"/>
        <v>2350</v>
      </c>
      <c r="U16" s="19">
        <f t="shared" si="0"/>
        <v>2375</v>
      </c>
      <c r="V16" s="22">
        <f t="shared" si="0"/>
        <v>2386</v>
      </c>
      <c r="W16" s="21">
        <f t="shared" si="0"/>
        <v>2405</v>
      </c>
      <c r="X16" s="19">
        <f t="shared" si="0"/>
        <v>2413</v>
      </c>
      <c r="Y16" s="19">
        <f>SUM(Y17:Y19)</f>
        <v>2456</v>
      </c>
      <c r="Z16" s="19">
        <f>SUM(Z17:Z19)</f>
        <v>2437</v>
      </c>
      <c r="AA16" s="21">
        <f>SUM(AA17:AA19)</f>
        <v>2447</v>
      </c>
      <c r="AB16" s="19">
        <f>SUM(AB17:AB19)</f>
        <v>2690</v>
      </c>
      <c r="AC16" s="19">
        <f>SUM(AC17:AC19)</f>
        <v>2820</v>
      </c>
      <c r="AD16" s="19">
        <v>2562</v>
      </c>
      <c r="AE16" s="21">
        <v>2568</v>
      </c>
      <c r="AF16" s="19">
        <v>2606</v>
      </c>
      <c r="AG16" s="19">
        <v>2667</v>
      </c>
    </row>
    <row r="17" spans="1:33" s="9" customFormat="1" ht="12.75">
      <c r="A17" s="38" t="s">
        <v>356</v>
      </c>
      <c r="B17" s="38" t="s">
        <v>449</v>
      </c>
      <c r="C17" s="144">
        <v>1264</v>
      </c>
      <c r="D17" s="145">
        <v>1301</v>
      </c>
      <c r="E17" s="145">
        <v>1334</v>
      </c>
      <c r="F17" s="19">
        <v>1397</v>
      </c>
      <c r="G17" s="21">
        <v>1441</v>
      </c>
      <c r="H17" s="19">
        <v>1509</v>
      </c>
      <c r="I17" s="19">
        <v>1583</v>
      </c>
      <c r="J17" s="22">
        <v>1625</v>
      </c>
      <c r="K17" s="21">
        <v>1671</v>
      </c>
      <c r="L17" s="19">
        <v>1703</v>
      </c>
      <c r="M17" s="19">
        <v>1746</v>
      </c>
      <c r="N17" s="22">
        <v>1758</v>
      </c>
      <c r="O17" s="21">
        <v>1809</v>
      </c>
      <c r="P17" s="145">
        <v>1861</v>
      </c>
      <c r="Q17" s="19">
        <v>1934</v>
      </c>
      <c r="R17" s="22">
        <v>1987</v>
      </c>
      <c r="S17" s="21">
        <v>2020</v>
      </c>
      <c r="T17" s="19">
        <v>2075</v>
      </c>
      <c r="U17" s="19">
        <v>2102</v>
      </c>
      <c r="V17" s="22">
        <v>2116</v>
      </c>
      <c r="W17" s="21">
        <v>2132</v>
      </c>
      <c r="X17" s="145">
        <v>2144</v>
      </c>
      <c r="Y17" s="19">
        <v>2188</v>
      </c>
      <c r="Z17" s="19">
        <v>2144</v>
      </c>
      <c r="AA17" s="21">
        <v>2155</v>
      </c>
      <c r="AB17" s="145">
        <v>2401</v>
      </c>
      <c r="AC17" s="19">
        <v>2532</v>
      </c>
      <c r="AD17" s="19">
        <v>2271</v>
      </c>
      <c r="AE17" s="21">
        <v>2277</v>
      </c>
      <c r="AF17" s="145">
        <v>2311</v>
      </c>
      <c r="AG17" s="145">
        <v>2369</v>
      </c>
    </row>
    <row r="18" spans="1:33" s="9" customFormat="1" ht="12.75">
      <c r="A18" s="38" t="s">
        <v>357</v>
      </c>
      <c r="B18" s="38" t="s">
        <v>450</v>
      </c>
      <c r="C18" s="144">
        <v>153</v>
      </c>
      <c r="D18" s="145">
        <v>185</v>
      </c>
      <c r="E18" s="145">
        <v>220</v>
      </c>
      <c r="F18" s="19">
        <v>261</v>
      </c>
      <c r="G18" s="21">
        <v>267</v>
      </c>
      <c r="H18" s="19">
        <v>274</v>
      </c>
      <c r="I18" s="19">
        <v>277</v>
      </c>
      <c r="J18" s="22">
        <v>278</v>
      </c>
      <c r="K18" s="21">
        <v>273</v>
      </c>
      <c r="L18" s="19">
        <v>265</v>
      </c>
      <c r="M18" s="19">
        <v>259</v>
      </c>
      <c r="N18" s="22">
        <v>254</v>
      </c>
      <c r="O18" s="21">
        <v>246</v>
      </c>
      <c r="P18" s="145">
        <v>248</v>
      </c>
      <c r="Q18" s="19">
        <v>237</v>
      </c>
      <c r="R18" s="22">
        <v>231</v>
      </c>
      <c r="S18" s="21">
        <v>226</v>
      </c>
      <c r="T18" s="19">
        <v>221</v>
      </c>
      <c r="U18" s="19">
        <v>216</v>
      </c>
      <c r="V18" s="22">
        <v>211</v>
      </c>
      <c r="W18" s="21">
        <v>211</v>
      </c>
      <c r="X18" s="145">
        <v>205</v>
      </c>
      <c r="Y18" s="19">
        <v>202</v>
      </c>
      <c r="Z18" s="19">
        <v>201</v>
      </c>
      <c r="AA18" s="21">
        <v>199</v>
      </c>
      <c r="AB18" s="145">
        <v>199</v>
      </c>
      <c r="AC18" s="19">
        <v>200</v>
      </c>
      <c r="AD18" s="19">
        <v>200</v>
      </c>
      <c r="AE18" s="21">
        <v>200</v>
      </c>
      <c r="AF18" s="145">
        <v>203</v>
      </c>
      <c r="AG18" s="145">
        <v>205</v>
      </c>
    </row>
    <row r="19" spans="1:33" s="9" customFormat="1" ht="12.75">
      <c r="A19" s="38" t="s">
        <v>358</v>
      </c>
      <c r="B19" s="38" t="s">
        <v>451</v>
      </c>
      <c r="C19" s="144">
        <v>155</v>
      </c>
      <c r="D19" s="145">
        <v>133</v>
      </c>
      <c r="E19" s="145">
        <v>134</v>
      </c>
      <c r="F19" s="19">
        <v>119</v>
      </c>
      <c r="G19" s="21">
        <v>117</v>
      </c>
      <c r="H19" s="19">
        <v>121</v>
      </c>
      <c r="I19" s="19">
        <v>123</v>
      </c>
      <c r="J19" s="22">
        <v>100</v>
      </c>
      <c r="K19" s="21">
        <v>89</v>
      </c>
      <c r="L19" s="19">
        <v>88</v>
      </c>
      <c r="M19" s="19">
        <v>81</v>
      </c>
      <c r="N19" s="22">
        <v>70</v>
      </c>
      <c r="O19" s="21">
        <v>67</v>
      </c>
      <c r="P19" s="145">
        <v>57</v>
      </c>
      <c r="Q19" s="19">
        <v>55</v>
      </c>
      <c r="R19" s="22">
        <v>49</v>
      </c>
      <c r="S19" s="21">
        <v>54</v>
      </c>
      <c r="T19" s="19">
        <v>54</v>
      </c>
      <c r="U19" s="19">
        <v>57</v>
      </c>
      <c r="V19" s="22">
        <v>59</v>
      </c>
      <c r="W19" s="21">
        <v>62</v>
      </c>
      <c r="X19" s="145">
        <v>64</v>
      </c>
      <c r="Y19" s="19">
        <v>66</v>
      </c>
      <c r="Z19" s="19">
        <v>92</v>
      </c>
      <c r="AA19" s="21">
        <v>93</v>
      </c>
      <c r="AB19" s="145">
        <v>90</v>
      </c>
      <c r="AC19" s="19">
        <v>88</v>
      </c>
      <c r="AD19" s="19">
        <v>91</v>
      </c>
      <c r="AE19" s="21">
        <v>91</v>
      </c>
      <c r="AF19" s="145">
        <v>92</v>
      </c>
      <c r="AG19" s="145">
        <v>93</v>
      </c>
    </row>
  </sheetData>
  <sheetProtection/>
  <mergeCells count="10">
    <mergeCell ref="AE2:AG2"/>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horizontalDpi="600" verticalDpi="600" orientation="landscape" paperSize="9" scale="62" r:id="rId1"/>
  <headerFooter alignWithMargins="0">
    <oddHeader>&amp;C&amp;"Times New Roman,Kursywa"&amp;12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O76"/>
  <sheetViews>
    <sheetView showGridLines="0" view="pageBreakPreview" zoomScaleSheetLayoutView="100" zoomScalePageLayoutView="80" workbookViewId="0" topLeftCell="A1">
      <pane xSplit="2" ySplit="3" topLeftCell="H4" activePane="bottomRight" state="frozen"/>
      <selection pane="topLeft" activeCell="B1" sqref="B1"/>
      <selection pane="topRight" activeCell="B1" sqref="B1"/>
      <selection pane="bottomLeft" activeCell="B1" sqref="B1"/>
      <selection pane="bottomRight" activeCell="A2" sqref="A2:A3"/>
    </sheetView>
  </sheetViews>
  <sheetFormatPr defaultColWidth="9.00390625" defaultRowHeight="12.75" outlineLevelCol="1"/>
  <cols>
    <col min="1" max="1" width="59.125" style="1" customWidth="1"/>
    <col min="2" max="2" width="59.125" style="1" hidden="1" customWidth="1" outlineLevel="1"/>
    <col min="3" max="3" width="5.50390625" style="3" customWidth="1" collapsed="1"/>
    <col min="4" max="9" width="4.875" style="3" customWidth="1"/>
    <col min="10" max="10" width="5.50390625" style="3" customWidth="1"/>
    <col min="11" max="30" width="4.875" style="3" customWidth="1"/>
    <col min="31" max="31" width="6.00390625" style="3" bestFit="1" customWidth="1"/>
    <col min="32" max="32" width="4.875" style="3" bestFit="1" customWidth="1"/>
    <col min="33" max="33" width="5.00390625" style="3" customWidth="1"/>
    <col min="34" max="34" width="14.50390625" style="3" customWidth="1"/>
    <col min="35" max="35" width="14.125" style="3" customWidth="1"/>
    <col min="36" max="16384" width="8.875" style="3" customWidth="1"/>
  </cols>
  <sheetData>
    <row r="1" spans="1:34" ht="12.75">
      <c r="A1" s="259" t="s">
        <v>585</v>
      </c>
      <c r="B1" s="259" t="s">
        <v>586</v>
      </c>
      <c r="AH1" s="97"/>
    </row>
    <row r="2" spans="1:37" ht="12.75">
      <c r="A2" s="343" t="s">
        <v>184</v>
      </c>
      <c r="B2" s="343" t="s">
        <v>11</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1"/>
      <c r="AA2" s="340">
        <v>2013</v>
      </c>
      <c r="AB2" s="341"/>
      <c r="AC2" s="341"/>
      <c r="AD2" s="341"/>
      <c r="AE2" s="345">
        <v>2014</v>
      </c>
      <c r="AF2" s="346"/>
      <c r="AG2" s="346"/>
      <c r="AH2" s="25"/>
      <c r="AI2" s="25"/>
      <c r="AJ2" s="25"/>
      <c r="AK2" s="25"/>
    </row>
    <row r="3" spans="1:35" s="4" customFormat="1" ht="25.5" customHeight="1">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5" t="s">
        <v>183</v>
      </c>
      <c r="AA3" s="34" t="s">
        <v>180</v>
      </c>
      <c r="AB3" s="35" t="s">
        <v>181</v>
      </c>
      <c r="AC3" s="35" t="s">
        <v>182</v>
      </c>
      <c r="AD3" s="35" t="s">
        <v>183</v>
      </c>
      <c r="AE3" s="34" t="s">
        <v>180</v>
      </c>
      <c r="AF3" s="35" t="s">
        <v>181</v>
      </c>
      <c r="AG3" s="35" t="s">
        <v>182</v>
      </c>
      <c r="AH3" s="29"/>
      <c r="AI3" s="29"/>
    </row>
    <row r="4" spans="1:31" s="4" customFormat="1" ht="12.75" customHeight="1">
      <c r="A4" s="20" t="s">
        <v>185</v>
      </c>
      <c r="B4" s="20" t="s">
        <v>12</v>
      </c>
      <c r="C4" s="16"/>
      <c r="D4" s="5"/>
      <c r="E4" s="5"/>
      <c r="F4" s="5"/>
      <c r="G4" s="16"/>
      <c r="H4" s="5"/>
      <c r="I4" s="5"/>
      <c r="J4" s="18"/>
      <c r="K4" s="16"/>
      <c r="L4" s="5"/>
      <c r="M4" s="5"/>
      <c r="N4" s="18"/>
      <c r="O4" s="16"/>
      <c r="P4" s="5"/>
      <c r="Q4" s="5"/>
      <c r="R4" s="18"/>
      <c r="S4" s="16"/>
      <c r="T4" s="5"/>
      <c r="U4" s="5"/>
      <c r="V4" s="18"/>
      <c r="W4" s="16"/>
      <c r="X4" s="5"/>
      <c r="Y4" s="5"/>
      <c r="Z4" s="18"/>
      <c r="AA4" s="16"/>
      <c r="AB4" s="5"/>
      <c r="AC4" s="5"/>
      <c r="AD4" s="18"/>
      <c r="AE4" s="310"/>
    </row>
    <row r="5" spans="1:41" s="7" customFormat="1" ht="12.75">
      <c r="A5" s="38" t="s">
        <v>186</v>
      </c>
      <c r="B5" s="38" t="s">
        <v>0</v>
      </c>
      <c r="C5" s="39">
        <v>556</v>
      </c>
      <c r="D5" s="40">
        <v>586.0000000000001</v>
      </c>
      <c r="E5" s="40">
        <v>618.3</v>
      </c>
      <c r="F5" s="40">
        <v>673.3</v>
      </c>
      <c r="G5" s="39">
        <v>750.5</v>
      </c>
      <c r="H5" s="40">
        <v>855.3</v>
      </c>
      <c r="I5" s="40">
        <v>910.1</v>
      </c>
      <c r="J5" s="41">
        <v>982.8</v>
      </c>
      <c r="K5" s="67">
        <v>860.8</v>
      </c>
      <c r="L5" s="40">
        <v>773.3</v>
      </c>
      <c r="M5" s="40">
        <v>732.1</v>
      </c>
      <c r="N5" s="41">
        <v>711.5</v>
      </c>
      <c r="O5" s="39">
        <v>726.8</v>
      </c>
      <c r="P5" s="40">
        <v>723.1</v>
      </c>
      <c r="Q5" s="40">
        <v>747.3</v>
      </c>
      <c r="R5" s="41">
        <v>751.5</v>
      </c>
      <c r="S5" s="39">
        <v>772.6</v>
      </c>
      <c r="T5" s="40">
        <v>833.6</v>
      </c>
      <c r="U5" s="40">
        <v>882.3</v>
      </c>
      <c r="V5" s="41">
        <v>897</v>
      </c>
      <c r="W5" s="39">
        <v>945.2</v>
      </c>
      <c r="X5" s="40">
        <v>945.2</v>
      </c>
      <c r="Y5" s="40">
        <v>963.1999999999998</v>
      </c>
      <c r="Z5" s="41">
        <v>977.9</v>
      </c>
      <c r="AA5" s="39">
        <v>925.1</v>
      </c>
      <c r="AB5" s="40">
        <v>902.8</v>
      </c>
      <c r="AC5" s="40">
        <v>895.4000000000001</v>
      </c>
      <c r="AD5" s="41">
        <v>891.4</v>
      </c>
      <c r="AE5" s="39">
        <v>903.8</v>
      </c>
      <c r="AF5" s="40">
        <v>932.6</v>
      </c>
      <c r="AG5" s="41">
        <v>962.2</v>
      </c>
      <c r="AH5" s="87"/>
      <c r="AI5" s="87"/>
      <c r="AM5" s="87"/>
      <c r="AN5" s="87"/>
      <c r="AO5" s="87"/>
    </row>
    <row r="6" spans="1:41" s="7" customFormat="1" ht="12.75">
      <c r="A6" s="88" t="s">
        <v>187</v>
      </c>
      <c r="B6" s="88" t="s">
        <v>1</v>
      </c>
      <c r="C6" s="39">
        <f>320.1-0.2</f>
        <v>319.90000000000003</v>
      </c>
      <c r="D6" s="40">
        <v>339.1</v>
      </c>
      <c r="E6" s="40">
        <v>363.7</v>
      </c>
      <c r="F6" s="40">
        <v>410.09999999999997</v>
      </c>
      <c r="G6" s="39">
        <v>467.1</v>
      </c>
      <c r="H6" s="40">
        <v>539.5</v>
      </c>
      <c r="I6" s="40">
        <v>589.2</v>
      </c>
      <c r="J6" s="41">
        <v>650.3</v>
      </c>
      <c r="K6" s="39">
        <v>549.7</v>
      </c>
      <c r="L6" s="40">
        <v>414.3</v>
      </c>
      <c r="M6" s="40">
        <v>354.1</v>
      </c>
      <c r="N6" s="41">
        <v>357.1</v>
      </c>
      <c r="O6" s="39">
        <v>336.4</v>
      </c>
      <c r="P6" s="40">
        <v>317.8</v>
      </c>
      <c r="Q6" s="40">
        <v>337.1</v>
      </c>
      <c r="R6" s="41">
        <v>329.8</v>
      </c>
      <c r="S6" s="39">
        <v>337.7</v>
      </c>
      <c r="T6" s="40">
        <v>374.1</v>
      </c>
      <c r="U6" s="40">
        <v>404.9</v>
      </c>
      <c r="V6" s="41">
        <v>417.3</v>
      </c>
      <c r="W6" s="39">
        <v>431.7</v>
      </c>
      <c r="X6" s="40">
        <v>431.1</v>
      </c>
      <c r="Y6" s="40">
        <v>447.70000000000005</v>
      </c>
      <c r="Z6" s="41">
        <v>472.1</v>
      </c>
      <c r="AA6" s="39">
        <v>449.3</v>
      </c>
      <c r="AB6" s="40">
        <v>407.5</v>
      </c>
      <c r="AC6" s="40">
        <v>369.29999999999995</v>
      </c>
      <c r="AD6" s="41">
        <v>346</v>
      </c>
      <c r="AE6" s="39">
        <v>335.9</v>
      </c>
      <c r="AF6" s="40">
        <v>350.4</v>
      </c>
      <c r="AG6" s="41">
        <v>365.3</v>
      </c>
      <c r="AH6" s="87"/>
      <c r="AI6" s="87"/>
      <c r="AM6" s="87"/>
      <c r="AN6" s="87"/>
      <c r="AO6" s="87"/>
    </row>
    <row r="7" spans="1:41" s="9" customFormat="1" ht="12.75">
      <c r="A7" s="89" t="s">
        <v>188</v>
      </c>
      <c r="B7" s="89" t="s">
        <v>2</v>
      </c>
      <c r="C7" s="46">
        <f>C5-C6</f>
        <v>236.09999999999997</v>
      </c>
      <c r="D7" s="47">
        <f aca="true" t="shared" si="0" ref="D7:X7">D5-D6</f>
        <v>246.9000000000001</v>
      </c>
      <c r="E7" s="47">
        <f t="shared" si="0"/>
        <v>254.59999999999997</v>
      </c>
      <c r="F7" s="47">
        <f t="shared" si="0"/>
        <v>263.2</v>
      </c>
      <c r="G7" s="46">
        <f t="shared" si="0"/>
        <v>283.4</v>
      </c>
      <c r="H7" s="47">
        <f t="shared" si="0"/>
        <v>315.79999999999995</v>
      </c>
      <c r="I7" s="47">
        <f t="shared" si="0"/>
        <v>320.9</v>
      </c>
      <c r="J7" s="48">
        <f t="shared" si="0"/>
        <v>332.5</v>
      </c>
      <c r="K7" s="46">
        <f t="shared" si="0"/>
        <v>311.0999999999999</v>
      </c>
      <c r="L7" s="47">
        <f t="shared" si="0"/>
        <v>358.99999999999994</v>
      </c>
      <c r="M7" s="47">
        <f t="shared" si="0"/>
        <v>378</v>
      </c>
      <c r="N7" s="48">
        <f t="shared" si="0"/>
        <v>354.4</v>
      </c>
      <c r="O7" s="46">
        <f t="shared" si="0"/>
        <v>390.4</v>
      </c>
      <c r="P7" s="47">
        <f t="shared" si="0"/>
        <v>405.3</v>
      </c>
      <c r="Q7" s="47">
        <f t="shared" si="0"/>
        <v>410.19999999999993</v>
      </c>
      <c r="R7" s="48">
        <f t="shared" si="0"/>
        <v>421.7</v>
      </c>
      <c r="S7" s="46">
        <f t="shared" si="0"/>
        <v>434.90000000000003</v>
      </c>
      <c r="T7" s="47">
        <f t="shared" si="0"/>
        <v>459.5</v>
      </c>
      <c r="U7" s="47">
        <f t="shared" si="0"/>
        <v>477.4</v>
      </c>
      <c r="V7" s="48">
        <f t="shared" si="0"/>
        <v>479.7</v>
      </c>
      <c r="W7" s="46">
        <f t="shared" si="0"/>
        <v>513.5</v>
      </c>
      <c r="X7" s="47">
        <f t="shared" si="0"/>
        <v>514.1</v>
      </c>
      <c r="Y7" s="47">
        <f aca="true" t="shared" si="1" ref="Y7:AF7">Y5-Y6</f>
        <v>515.4999999999998</v>
      </c>
      <c r="Z7" s="48">
        <f t="shared" si="1"/>
        <v>505.79999999999995</v>
      </c>
      <c r="AA7" s="46">
        <f t="shared" si="1"/>
        <v>475.8</v>
      </c>
      <c r="AB7" s="47">
        <f t="shared" si="1"/>
        <v>495.29999999999995</v>
      </c>
      <c r="AC7" s="47">
        <f t="shared" si="1"/>
        <v>526.1000000000001</v>
      </c>
      <c r="AD7" s="48">
        <f t="shared" si="1"/>
        <v>545.4</v>
      </c>
      <c r="AE7" s="46">
        <f t="shared" si="1"/>
        <v>567.9</v>
      </c>
      <c r="AF7" s="47">
        <f t="shared" si="1"/>
        <v>582.2</v>
      </c>
      <c r="AG7" s="48">
        <f>AG5-AG6</f>
        <v>596.9000000000001</v>
      </c>
      <c r="AH7" s="87"/>
      <c r="AI7" s="87"/>
      <c r="AM7" s="87"/>
      <c r="AN7" s="87"/>
      <c r="AO7" s="87"/>
    </row>
    <row r="8" spans="1:41" s="7" customFormat="1" ht="12.75">
      <c r="A8" s="38" t="s">
        <v>189</v>
      </c>
      <c r="B8" s="38" t="s">
        <v>3</v>
      </c>
      <c r="C8" s="39">
        <v>239</v>
      </c>
      <c r="D8" s="40">
        <v>248.50000000000003</v>
      </c>
      <c r="E8" s="40">
        <f>251.9-0.1</f>
        <v>251.8</v>
      </c>
      <c r="F8" s="40">
        <v>241.49999999999997</v>
      </c>
      <c r="G8" s="39">
        <v>228.79999999999998</v>
      </c>
      <c r="H8" s="40">
        <v>235.70000000000002</v>
      </c>
      <c r="I8" s="40">
        <v>244.7</v>
      </c>
      <c r="J8" s="41">
        <v>268.5</v>
      </c>
      <c r="K8" s="39">
        <v>256.1</v>
      </c>
      <c r="L8" s="40">
        <v>275.3</v>
      </c>
      <c r="M8" s="40">
        <v>278</v>
      </c>
      <c r="N8" s="41">
        <v>275.7</v>
      </c>
      <c r="O8" s="39">
        <v>264.1</v>
      </c>
      <c r="P8" s="40">
        <v>277.6</v>
      </c>
      <c r="Q8" s="40">
        <v>287.2</v>
      </c>
      <c r="R8" s="41">
        <v>288.2</v>
      </c>
      <c r="S8" s="39">
        <v>285.9</v>
      </c>
      <c r="T8" s="40">
        <v>295.7</v>
      </c>
      <c r="U8" s="40">
        <v>297.7</v>
      </c>
      <c r="V8" s="41">
        <v>290.8</v>
      </c>
      <c r="W8" s="39">
        <v>280.7</v>
      </c>
      <c r="X8" s="40">
        <v>285.4</v>
      </c>
      <c r="Y8" s="40">
        <v>283.79999999999995</v>
      </c>
      <c r="Z8" s="41">
        <v>292.6</v>
      </c>
      <c r="AA8" s="39">
        <f>271.3-0.3</f>
        <v>271</v>
      </c>
      <c r="AB8" s="40">
        <f>294.2-0.5-10.3-0.2</f>
        <v>283.2</v>
      </c>
      <c r="AC8" s="40">
        <f>263.4-1.2+5.1-0.3</f>
        <v>267</v>
      </c>
      <c r="AD8" s="41">
        <f>292.2-0.5</f>
        <v>291.7</v>
      </c>
      <c r="AE8" s="39">
        <f>297.7-0.9</f>
        <v>296.8</v>
      </c>
      <c r="AF8" s="40">
        <v>305.8</v>
      </c>
      <c r="AG8" s="41">
        <v>286.4</v>
      </c>
      <c r="AH8" s="87"/>
      <c r="AI8" s="87"/>
      <c r="AM8" s="87"/>
      <c r="AN8" s="87"/>
      <c r="AO8" s="87"/>
    </row>
    <row r="9" spans="1:41" s="7" customFormat="1" ht="12.75">
      <c r="A9" s="38" t="s">
        <v>190</v>
      </c>
      <c r="B9" s="38" t="s">
        <v>4</v>
      </c>
      <c r="C9" s="39">
        <f>16.7-1</f>
        <v>15.7</v>
      </c>
      <c r="D9" s="40">
        <f>15.2-1</f>
        <v>14.2</v>
      </c>
      <c r="E9" s="40">
        <f>21.1-1</f>
        <v>20.1</v>
      </c>
      <c r="F9" s="40">
        <f>29-1</f>
        <v>28</v>
      </c>
      <c r="G9" s="39">
        <f>22.1-1.2</f>
        <v>20.900000000000002</v>
      </c>
      <c r="H9" s="40">
        <f>19.9-1.2</f>
        <v>18.7</v>
      </c>
      <c r="I9" s="40">
        <f>16.4-1.2</f>
        <v>15.2</v>
      </c>
      <c r="J9" s="41">
        <f>29.6-1.2</f>
        <v>28.400000000000002</v>
      </c>
      <c r="K9" s="39">
        <f>22.1-4.1</f>
        <v>18</v>
      </c>
      <c r="L9" s="40">
        <f>25.4-4.1</f>
        <v>21.299999999999997</v>
      </c>
      <c r="M9" s="47">
        <f>25-4.1</f>
        <v>20.9</v>
      </c>
      <c r="N9" s="41">
        <f>48.2-4.1</f>
        <v>44.1</v>
      </c>
      <c r="O9" s="39">
        <f>35.6-3.9</f>
        <v>31.700000000000003</v>
      </c>
      <c r="P9" s="40">
        <f>30.7-3.9</f>
        <v>26.8</v>
      </c>
      <c r="Q9" s="40">
        <f>31.6-3.9</f>
        <v>27.700000000000003</v>
      </c>
      <c r="R9" s="41">
        <f>31.9-3.9</f>
        <v>28</v>
      </c>
      <c r="S9" s="39">
        <f>34.5-9.1</f>
        <v>25.4</v>
      </c>
      <c r="T9" s="40">
        <f>37.3-9.1</f>
        <v>28.199999999999996</v>
      </c>
      <c r="U9" s="40">
        <f>36.3-9.1</f>
        <v>27.199999999999996</v>
      </c>
      <c r="V9" s="41">
        <f>40.8-9.1</f>
        <v>31.699999999999996</v>
      </c>
      <c r="W9" s="39">
        <f>33.7-11</f>
        <v>22.700000000000003</v>
      </c>
      <c r="X9" s="40">
        <f>35-11</f>
        <v>24</v>
      </c>
      <c r="Y9" s="40">
        <f>32.6-11</f>
        <v>21.6</v>
      </c>
      <c r="Z9" s="41">
        <f>36.9-11</f>
        <v>25.9</v>
      </c>
      <c r="AA9" s="39">
        <f>31.5-11.3-0.3</f>
        <v>19.9</v>
      </c>
      <c r="AB9" s="40">
        <f>33.8-11.4-0.2</f>
        <v>22.2</v>
      </c>
      <c r="AC9" s="40">
        <f>33.6-11.3-0.3</f>
        <v>22</v>
      </c>
      <c r="AD9" s="41">
        <f>38.7-11.3-0.5</f>
        <v>26.900000000000002</v>
      </c>
      <c r="AE9" s="39">
        <f>21.6-0.9</f>
        <v>20.700000000000003</v>
      </c>
      <c r="AF9" s="40">
        <v>26.2</v>
      </c>
      <c r="AG9" s="41">
        <v>28.1</v>
      </c>
      <c r="AH9" s="87"/>
      <c r="AI9" s="87"/>
      <c r="AM9" s="87"/>
      <c r="AN9" s="87"/>
      <c r="AO9" s="87"/>
    </row>
    <row r="10" spans="1:41" s="4" customFormat="1" ht="12.75">
      <c r="A10" s="89" t="s">
        <v>191</v>
      </c>
      <c r="B10" s="89" t="s">
        <v>5</v>
      </c>
      <c r="C10" s="46">
        <f>C8-C9</f>
        <v>223.3</v>
      </c>
      <c r="D10" s="47">
        <f aca="true" t="shared" si="2" ref="D10:X10">D8-D9</f>
        <v>234.30000000000004</v>
      </c>
      <c r="E10" s="47">
        <f t="shared" si="2"/>
        <v>231.70000000000002</v>
      </c>
      <c r="F10" s="47">
        <f t="shared" si="2"/>
        <v>213.49999999999997</v>
      </c>
      <c r="G10" s="46">
        <f t="shared" si="2"/>
        <v>207.89999999999998</v>
      </c>
      <c r="H10" s="47">
        <f t="shared" si="2"/>
        <v>217.00000000000003</v>
      </c>
      <c r="I10" s="47">
        <f t="shared" si="2"/>
        <v>229.5</v>
      </c>
      <c r="J10" s="48">
        <f t="shared" si="2"/>
        <v>240.1</v>
      </c>
      <c r="K10" s="46">
        <f t="shared" si="2"/>
        <v>238.10000000000002</v>
      </c>
      <c r="L10" s="47">
        <f t="shared" si="2"/>
        <v>254</v>
      </c>
      <c r="M10" s="47">
        <f t="shared" si="2"/>
        <v>257.1</v>
      </c>
      <c r="N10" s="48">
        <f t="shared" si="2"/>
        <v>231.6</v>
      </c>
      <c r="O10" s="46">
        <f t="shared" si="2"/>
        <v>232.40000000000003</v>
      </c>
      <c r="P10" s="47">
        <f t="shared" si="2"/>
        <v>250.8</v>
      </c>
      <c r="Q10" s="47">
        <f t="shared" si="2"/>
        <v>259.5</v>
      </c>
      <c r="R10" s="48">
        <f t="shared" si="2"/>
        <v>260.2</v>
      </c>
      <c r="S10" s="46">
        <f t="shared" si="2"/>
        <v>260.5</v>
      </c>
      <c r="T10" s="47">
        <f t="shared" si="2"/>
        <v>267.5</v>
      </c>
      <c r="U10" s="47">
        <f t="shared" si="2"/>
        <v>270.5</v>
      </c>
      <c r="V10" s="48">
        <f t="shared" si="2"/>
        <v>259.1</v>
      </c>
      <c r="W10" s="46">
        <f t="shared" si="2"/>
        <v>258</v>
      </c>
      <c r="X10" s="47">
        <f t="shared" si="2"/>
        <v>261.4</v>
      </c>
      <c r="Y10" s="47">
        <f aca="true" t="shared" si="3" ref="Y10:AF10">Y8-Y9</f>
        <v>262.19999999999993</v>
      </c>
      <c r="Z10" s="48">
        <f t="shared" si="3"/>
        <v>266.70000000000005</v>
      </c>
      <c r="AA10" s="46">
        <f t="shared" si="3"/>
        <v>251.1</v>
      </c>
      <c r="AB10" s="47">
        <f t="shared" si="3"/>
        <v>261</v>
      </c>
      <c r="AC10" s="47">
        <f t="shared" si="3"/>
        <v>245</v>
      </c>
      <c r="AD10" s="48">
        <f t="shared" si="3"/>
        <v>264.8</v>
      </c>
      <c r="AE10" s="46">
        <f t="shared" si="3"/>
        <v>276.1</v>
      </c>
      <c r="AF10" s="47">
        <f t="shared" si="3"/>
        <v>279.6</v>
      </c>
      <c r="AG10" s="48">
        <f>AG8-AG9</f>
        <v>258.29999999999995</v>
      </c>
      <c r="AH10" s="87"/>
      <c r="AI10" s="87"/>
      <c r="AM10" s="87"/>
      <c r="AN10" s="87"/>
      <c r="AO10" s="87"/>
    </row>
    <row r="11" spans="1:41" s="9" customFormat="1" ht="20.25">
      <c r="A11" s="90" t="s">
        <v>390</v>
      </c>
      <c r="B11" s="90" t="s">
        <v>708</v>
      </c>
      <c r="C11" s="39">
        <v>37.8</v>
      </c>
      <c r="D11" s="40">
        <v>17.400000000000006</v>
      </c>
      <c r="E11" s="68">
        <v>36.3</v>
      </c>
      <c r="F11" s="40">
        <v>-8.499999999999972</v>
      </c>
      <c r="G11" s="39">
        <v>72.5</v>
      </c>
      <c r="H11" s="40">
        <v>64.8</v>
      </c>
      <c r="I11" s="40">
        <v>53.4</v>
      </c>
      <c r="J11" s="41">
        <v>-307.9</v>
      </c>
      <c r="K11" s="39">
        <v>-24</v>
      </c>
      <c r="L11" s="40">
        <v>43.6</v>
      </c>
      <c r="M11" s="40">
        <v>58.8</v>
      </c>
      <c r="N11" s="41">
        <v>19.5</v>
      </c>
      <c r="O11" s="39">
        <v>28.5</v>
      </c>
      <c r="P11" s="40">
        <v>22.8</v>
      </c>
      <c r="Q11" s="40">
        <v>24.4</v>
      </c>
      <c r="R11" s="41">
        <v>1.8</v>
      </c>
      <c r="S11" s="39">
        <v>26.8</v>
      </c>
      <c r="T11" s="40">
        <f>11.5-0.1</f>
        <v>11.4</v>
      </c>
      <c r="U11" s="40">
        <v>-8.1</v>
      </c>
      <c r="V11" s="41">
        <v>-11.8</v>
      </c>
      <c r="W11" s="39">
        <v>53.7</v>
      </c>
      <c r="X11" s="40">
        <v>12.3</v>
      </c>
      <c r="Y11" s="40">
        <v>18.900000000000006</v>
      </c>
      <c r="Z11" s="41">
        <v>0.6</v>
      </c>
      <c r="AA11" s="39">
        <v>17.1</v>
      </c>
      <c r="AB11" s="40">
        <f>24+10.3</f>
        <v>34.3</v>
      </c>
      <c r="AC11" s="40">
        <f>41.5-5.1</f>
        <v>36.4</v>
      </c>
      <c r="AD11" s="41">
        <v>10.1</v>
      </c>
      <c r="AE11" s="39">
        <v>25.3</v>
      </c>
      <c r="AF11" s="40">
        <v>22.8</v>
      </c>
      <c r="AG11" s="41">
        <v>23.6</v>
      </c>
      <c r="AH11" s="87"/>
      <c r="AI11" s="87"/>
      <c r="AM11" s="87"/>
      <c r="AN11" s="87"/>
      <c r="AO11" s="87"/>
    </row>
    <row r="12" spans="1:41" s="9" customFormat="1" ht="12.75">
      <c r="A12" s="88" t="s">
        <v>284</v>
      </c>
      <c r="B12" s="88" t="s">
        <v>420</v>
      </c>
      <c r="C12" s="39">
        <v>16.9</v>
      </c>
      <c r="D12" s="40">
        <v>6.1</v>
      </c>
      <c r="E12" s="40">
        <v>1.9</v>
      </c>
      <c r="F12" s="40">
        <v>0.1</v>
      </c>
      <c r="G12" s="39">
        <v>0.1</v>
      </c>
      <c r="H12" s="40">
        <v>24.1</v>
      </c>
      <c r="I12" s="40">
        <v>-0.3</v>
      </c>
      <c r="J12" s="41">
        <v>6.9</v>
      </c>
      <c r="K12" s="39">
        <v>0.3</v>
      </c>
      <c r="L12" s="40">
        <v>8.3</v>
      </c>
      <c r="M12" s="40">
        <v>5.4</v>
      </c>
      <c r="N12" s="41">
        <v>-10.7</v>
      </c>
      <c r="O12" s="39">
        <v>4</v>
      </c>
      <c r="P12" s="40">
        <v>3</v>
      </c>
      <c r="Q12" s="40">
        <v>0.8</v>
      </c>
      <c r="R12" s="41">
        <v>-5.6</v>
      </c>
      <c r="S12" s="39">
        <v>18.2</v>
      </c>
      <c r="T12" s="40">
        <v>6.2</v>
      </c>
      <c r="U12" s="40">
        <v>7.7</v>
      </c>
      <c r="V12" s="41">
        <v>5.9</v>
      </c>
      <c r="W12" s="39">
        <v>19.1</v>
      </c>
      <c r="X12" s="40">
        <v>6.6</v>
      </c>
      <c r="Y12" s="40">
        <v>-0.8999999999999986</v>
      </c>
      <c r="Z12" s="41">
        <v>-0.2</v>
      </c>
      <c r="AA12" s="39">
        <v>120.4</v>
      </c>
      <c r="AB12" s="40">
        <v>-0.3</v>
      </c>
      <c r="AC12" s="40">
        <v>-11.699999999999989</v>
      </c>
      <c r="AD12" s="41">
        <v>0.4</v>
      </c>
      <c r="AE12" s="39">
        <v>0.1</v>
      </c>
      <c r="AF12" s="40">
        <v>4.9</v>
      </c>
      <c r="AG12" s="41">
        <v>5.2</v>
      </c>
      <c r="AH12" s="87"/>
      <c r="AI12" s="87"/>
      <c r="AM12" s="87"/>
      <c r="AN12" s="87"/>
      <c r="AO12" s="87"/>
    </row>
    <row r="13" spans="1:41" s="9" customFormat="1" ht="12.75">
      <c r="A13" s="90" t="s">
        <v>290</v>
      </c>
      <c r="B13" s="90" t="s">
        <v>421</v>
      </c>
      <c r="C13" s="39">
        <v>0</v>
      </c>
      <c r="D13" s="40">
        <v>-0.19999999999999996</v>
      </c>
      <c r="E13" s="40">
        <v>1.6</v>
      </c>
      <c r="F13" s="40">
        <v>-0.5999999999999996</v>
      </c>
      <c r="G13" s="39">
        <v>0.7</v>
      </c>
      <c r="H13" s="40">
        <v>-0.7</v>
      </c>
      <c r="I13" s="40">
        <v>2.7</v>
      </c>
      <c r="J13" s="41">
        <v>1.9</v>
      </c>
      <c r="K13" s="39">
        <v>17.9</v>
      </c>
      <c r="L13" s="40">
        <v>6</v>
      </c>
      <c r="M13" s="40">
        <v>-6.7</v>
      </c>
      <c r="N13" s="41">
        <v>2.9</v>
      </c>
      <c r="O13" s="39">
        <v>-6.9</v>
      </c>
      <c r="P13" s="40">
        <v>-15.3</v>
      </c>
      <c r="Q13" s="40">
        <v>-7.9</v>
      </c>
      <c r="R13" s="41">
        <v>18</v>
      </c>
      <c r="S13" s="39">
        <v>-16.3</v>
      </c>
      <c r="T13" s="40">
        <v>-3.2</v>
      </c>
      <c r="U13" s="40">
        <f>-23.6</f>
        <v>-23.6</v>
      </c>
      <c r="V13" s="41">
        <f>9.7</f>
        <v>9.7</v>
      </c>
      <c r="W13" s="39">
        <v>1.7</v>
      </c>
      <c r="X13" s="40">
        <v>-5.2</v>
      </c>
      <c r="Y13" s="40">
        <v>-5.5</v>
      </c>
      <c r="Z13" s="41">
        <v>-4.3</v>
      </c>
      <c r="AA13" s="39">
        <v>-19</v>
      </c>
      <c r="AB13" s="40">
        <v>11.5</v>
      </c>
      <c r="AC13" s="40">
        <v>2.3</v>
      </c>
      <c r="AD13" s="41">
        <v>3.7</v>
      </c>
      <c r="AE13" s="39">
        <v>0.6</v>
      </c>
      <c r="AF13" s="40">
        <v>3</v>
      </c>
      <c r="AG13" s="41">
        <v>7.2</v>
      </c>
      <c r="AH13" s="87"/>
      <c r="AI13" s="87"/>
      <c r="AM13" s="87"/>
      <c r="AN13" s="87"/>
      <c r="AO13" s="87"/>
    </row>
    <row r="14" spans="1:41" s="7" customFormat="1" ht="12.75">
      <c r="A14" s="88" t="s">
        <v>389</v>
      </c>
      <c r="B14" s="88" t="s">
        <v>422</v>
      </c>
      <c r="C14" s="39">
        <v>12.7</v>
      </c>
      <c r="D14" s="40">
        <v>6.8</v>
      </c>
      <c r="E14" s="40">
        <v>6.6</v>
      </c>
      <c r="F14" s="40">
        <v>-5.2</v>
      </c>
      <c r="G14" s="39">
        <v>6.5</v>
      </c>
      <c r="H14" s="40">
        <v>-9.5</v>
      </c>
      <c r="I14" s="40">
        <v>1</v>
      </c>
      <c r="J14" s="41">
        <v>21</v>
      </c>
      <c r="K14" s="67">
        <v>7.9</v>
      </c>
      <c r="L14" s="40">
        <v>2.7</v>
      </c>
      <c r="M14" s="40">
        <v>5.4</v>
      </c>
      <c r="N14" s="41">
        <v>-24.1</v>
      </c>
      <c r="O14" s="39">
        <v>6.3</v>
      </c>
      <c r="P14" s="40">
        <v>5</v>
      </c>
      <c r="Q14" s="40">
        <v>6.5</v>
      </c>
      <c r="R14" s="41">
        <v>-9.9</v>
      </c>
      <c r="S14" s="39">
        <v>7.8</v>
      </c>
      <c r="T14" s="40">
        <v>4.9</v>
      </c>
      <c r="U14" s="40">
        <v>2.7</v>
      </c>
      <c r="V14" s="41">
        <v>1.4</v>
      </c>
      <c r="W14" s="39">
        <v>4</v>
      </c>
      <c r="X14" s="40">
        <v>3.1</v>
      </c>
      <c r="Y14" s="40">
        <v>3.700000000000001</v>
      </c>
      <c r="Z14" s="41">
        <v>4.6</v>
      </c>
      <c r="AA14" s="39">
        <v>9.8</v>
      </c>
      <c r="AB14" s="40">
        <v>4.5</v>
      </c>
      <c r="AC14" s="40">
        <v>3.6999999999999993</v>
      </c>
      <c r="AD14" s="41">
        <v>2.7</v>
      </c>
      <c r="AE14" s="39">
        <v>2.6</v>
      </c>
      <c r="AF14" s="40">
        <v>4.1</v>
      </c>
      <c r="AG14" s="41">
        <v>6.1</v>
      </c>
      <c r="AH14" s="87"/>
      <c r="AI14" s="87"/>
      <c r="AM14" s="87"/>
      <c r="AN14" s="87"/>
      <c r="AO14" s="87"/>
    </row>
    <row r="15" spans="1:41" s="9" customFormat="1" ht="12.75">
      <c r="A15" s="89" t="s">
        <v>192</v>
      </c>
      <c r="B15" s="89" t="s">
        <v>6</v>
      </c>
      <c r="C15" s="46">
        <f>C7+C10+C11+C12+C13+C14</f>
        <v>526.8000000000001</v>
      </c>
      <c r="D15" s="47">
        <f aca="true" t="shared" si="4" ref="D15:X15">D7+D10+D11+D12+D13+D14</f>
        <v>511.3000000000002</v>
      </c>
      <c r="E15" s="47">
        <f t="shared" si="4"/>
        <v>532.6999999999999</v>
      </c>
      <c r="F15" s="47">
        <f t="shared" si="4"/>
        <v>462.49999999999994</v>
      </c>
      <c r="G15" s="46">
        <f t="shared" si="4"/>
        <v>571.1</v>
      </c>
      <c r="H15" s="47">
        <f t="shared" si="4"/>
        <v>611.4999999999999</v>
      </c>
      <c r="I15" s="47">
        <f t="shared" si="4"/>
        <v>607.2</v>
      </c>
      <c r="J15" s="48">
        <f t="shared" si="4"/>
        <v>294.5</v>
      </c>
      <c r="K15" s="46">
        <f t="shared" si="4"/>
        <v>551.2999999999998</v>
      </c>
      <c r="L15" s="47">
        <f t="shared" si="4"/>
        <v>673.6</v>
      </c>
      <c r="M15" s="47">
        <f t="shared" si="4"/>
        <v>697.9999999999999</v>
      </c>
      <c r="N15" s="48">
        <f t="shared" si="4"/>
        <v>573.5999999999999</v>
      </c>
      <c r="O15" s="46">
        <f t="shared" si="4"/>
        <v>654.6999999999999</v>
      </c>
      <c r="P15" s="47">
        <f t="shared" si="4"/>
        <v>671.6</v>
      </c>
      <c r="Q15" s="47">
        <f t="shared" si="4"/>
        <v>693.4999999999999</v>
      </c>
      <c r="R15" s="48">
        <f t="shared" si="4"/>
        <v>686.1999999999999</v>
      </c>
      <c r="S15" s="46">
        <f t="shared" si="4"/>
        <v>731.9000000000001</v>
      </c>
      <c r="T15" s="47">
        <f t="shared" si="4"/>
        <v>746.3</v>
      </c>
      <c r="U15" s="47">
        <f t="shared" si="4"/>
        <v>726.6</v>
      </c>
      <c r="V15" s="48">
        <f t="shared" si="4"/>
        <v>744</v>
      </c>
      <c r="W15" s="46">
        <f t="shared" si="4"/>
        <v>850.0000000000001</v>
      </c>
      <c r="X15" s="47">
        <f t="shared" si="4"/>
        <v>792.3</v>
      </c>
      <c r="Y15" s="47">
        <f aca="true" t="shared" si="5" ref="Y15:AF15">Y7+Y10+Y11+Y12+Y13+Y14</f>
        <v>793.8999999999997</v>
      </c>
      <c r="Z15" s="48">
        <f t="shared" si="5"/>
        <v>773.2</v>
      </c>
      <c r="AA15" s="46">
        <f t="shared" si="5"/>
        <v>855.1999999999999</v>
      </c>
      <c r="AB15" s="47">
        <f t="shared" si="5"/>
        <v>806.3</v>
      </c>
      <c r="AC15" s="47">
        <f t="shared" si="5"/>
        <v>801.8000000000002</v>
      </c>
      <c r="AD15" s="48">
        <f t="shared" si="5"/>
        <v>827.1000000000001</v>
      </c>
      <c r="AE15" s="46">
        <f t="shared" si="5"/>
        <v>872.6</v>
      </c>
      <c r="AF15" s="47">
        <f t="shared" si="5"/>
        <v>896.6</v>
      </c>
      <c r="AG15" s="48">
        <f>AG7+AG10+AG11+AG12+AG13+AG14</f>
        <v>897.3000000000002</v>
      </c>
      <c r="AH15" s="87"/>
      <c r="AI15" s="87"/>
      <c r="AM15" s="87"/>
      <c r="AN15" s="87"/>
      <c r="AO15" s="87"/>
    </row>
    <row r="16" spans="1:41" s="9" customFormat="1" ht="12.75">
      <c r="A16" s="90" t="s">
        <v>193</v>
      </c>
      <c r="B16" s="90" t="s">
        <v>423</v>
      </c>
      <c r="C16" s="39">
        <f>SUM(C17:C19)</f>
        <v>336.1</v>
      </c>
      <c r="D16" s="40">
        <f aca="true" t="shared" si="6" ref="D16:AF16">SUM(D17:D19)</f>
        <v>345</v>
      </c>
      <c r="E16" s="40">
        <f t="shared" si="6"/>
        <v>356.9</v>
      </c>
      <c r="F16" s="40">
        <f t="shared" si="6"/>
        <v>355.1</v>
      </c>
      <c r="G16" s="39">
        <f t="shared" si="6"/>
        <v>367.69999999999993</v>
      </c>
      <c r="H16" s="40">
        <f t="shared" si="6"/>
        <v>389.9</v>
      </c>
      <c r="I16" s="40">
        <f t="shared" si="6"/>
        <v>407.7</v>
      </c>
      <c r="J16" s="41">
        <f t="shared" si="6"/>
        <v>338.59999999999997</v>
      </c>
      <c r="K16" s="39">
        <f t="shared" si="6"/>
        <v>366.79999999999995</v>
      </c>
      <c r="L16" s="40">
        <f t="shared" si="6"/>
        <v>386.6</v>
      </c>
      <c r="M16" s="40">
        <f t="shared" si="6"/>
        <v>397.29999999999995</v>
      </c>
      <c r="N16" s="41">
        <f t="shared" si="6"/>
        <v>355.2</v>
      </c>
      <c r="O16" s="39">
        <f t="shared" si="6"/>
        <v>394.4</v>
      </c>
      <c r="P16" s="40">
        <f t="shared" si="6"/>
        <v>407.1</v>
      </c>
      <c r="Q16" s="40">
        <f t="shared" si="6"/>
        <v>411.6</v>
      </c>
      <c r="R16" s="41">
        <f t="shared" si="6"/>
        <v>396.4</v>
      </c>
      <c r="S16" s="39">
        <f t="shared" si="6"/>
        <v>417.4</v>
      </c>
      <c r="T16" s="40">
        <f t="shared" si="6"/>
        <v>431.8</v>
      </c>
      <c r="U16" s="40">
        <f t="shared" si="6"/>
        <v>431.1</v>
      </c>
      <c r="V16" s="41">
        <f t="shared" si="6"/>
        <v>419.7</v>
      </c>
      <c r="W16" s="39">
        <f t="shared" si="6"/>
        <v>474.90000000000003</v>
      </c>
      <c r="X16" s="40">
        <f t="shared" si="6"/>
        <v>465</v>
      </c>
      <c r="Y16" s="40">
        <f t="shared" si="6"/>
        <v>466.2</v>
      </c>
      <c r="Z16" s="41">
        <f t="shared" si="6"/>
        <v>460.1</v>
      </c>
      <c r="AA16" s="39">
        <f t="shared" si="6"/>
        <v>482.2</v>
      </c>
      <c r="AB16" s="40">
        <f t="shared" si="6"/>
        <v>477</v>
      </c>
      <c r="AC16" s="40">
        <f t="shared" si="6"/>
        <v>458.79999999999995</v>
      </c>
      <c r="AD16" s="41">
        <f t="shared" si="6"/>
        <v>450.40000000000003</v>
      </c>
      <c r="AE16" s="39">
        <f t="shared" si="6"/>
        <v>471.20000000000005</v>
      </c>
      <c r="AF16" s="40">
        <f t="shared" si="6"/>
        <v>480.5</v>
      </c>
      <c r="AG16" s="41">
        <f>SUM(AG17:AG19)</f>
        <v>489.5</v>
      </c>
      <c r="AH16" s="87"/>
      <c r="AI16" s="87"/>
      <c r="AM16" s="87"/>
      <c r="AN16" s="87"/>
      <c r="AO16" s="87"/>
    </row>
    <row r="17" spans="1:41" s="9" customFormat="1" ht="12.75">
      <c r="A17" s="90" t="s">
        <v>194</v>
      </c>
      <c r="B17" s="90" t="s">
        <v>42</v>
      </c>
      <c r="C17" s="39">
        <v>154.6</v>
      </c>
      <c r="D17" s="40">
        <v>168.2</v>
      </c>
      <c r="E17" s="40">
        <v>174.5</v>
      </c>
      <c r="F17" s="40">
        <v>194.3</v>
      </c>
      <c r="G17" s="39">
        <v>180.1</v>
      </c>
      <c r="H17" s="40">
        <v>182.2</v>
      </c>
      <c r="I17" s="40">
        <v>208.5</v>
      </c>
      <c r="J17" s="41">
        <v>200.7</v>
      </c>
      <c r="K17" s="39">
        <v>153</v>
      </c>
      <c r="L17" s="40">
        <v>180.9</v>
      </c>
      <c r="M17" s="40">
        <v>178.7</v>
      </c>
      <c r="N17" s="41">
        <f>200.3+4.2+0.6</f>
        <v>205.1</v>
      </c>
      <c r="O17" s="39">
        <v>178.6</v>
      </c>
      <c r="P17" s="40">
        <v>185.4</v>
      </c>
      <c r="Q17" s="40">
        <v>198.7</v>
      </c>
      <c r="R17" s="41">
        <v>248.4</v>
      </c>
      <c r="S17" s="39">
        <v>199.3</v>
      </c>
      <c r="T17" s="40">
        <v>208.9</v>
      </c>
      <c r="U17" s="40">
        <v>210.8</v>
      </c>
      <c r="V17" s="41">
        <v>214.3</v>
      </c>
      <c r="W17" s="39">
        <v>228</v>
      </c>
      <c r="X17" s="40">
        <v>213.1</v>
      </c>
      <c r="Y17" s="40">
        <v>219.1</v>
      </c>
      <c r="Z17" s="41">
        <v>240.6</v>
      </c>
      <c r="AA17" s="39">
        <v>226.7</v>
      </c>
      <c r="AB17" s="40">
        <v>226.3</v>
      </c>
      <c r="AC17" s="40">
        <v>230.1</v>
      </c>
      <c r="AD17" s="41">
        <v>243.5</v>
      </c>
      <c r="AE17" s="39">
        <v>230.5</v>
      </c>
      <c r="AF17" s="40">
        <v>241.3</v>
      </c>
      <c r="AG17" s="41">
        <v>237.4</v>
      </c>
      <c r="AH17" s="87"/>
      <c r="AI17" s="87"/>
      <c r="AM17" s="87"/>
      <c r="AN17" s="87"/>
      <c r="AO17" s="87"/>
    </row>
    <row r="18" spans="1:41" s="9" customFormat="1" ht="13.5" customHeight="1">
      <c r="A18" s="90" t="s">
        <v>195</v>
      </c>
      <c r="B18" s="90" t="s">
        <v>43</v>
      </c>
      <c r="C18" s="39">
        <v>34.6</v>
      </c>
      <c r="D18" s="40">
        <v>36.2</v>
      </c>
      <c r="E18" s="40">
        <v>35</v>
      </c>
      <c r="F18" s="40">
        <v>49</v>
      </c>
      <c r="G18" s="39">
        <v>33.3</v>
      </c>
      <c r="H18" s="40">
        <v>33.6</v>
      </c>
      <c r="I18" s="40">
        <v>34.19999999999999</v>
      </c>
      <c r="J18" s="41">
        <v>32.7</v>
      </c>
      <c r="K18" s="39">
        <v>31</v>
      </c>
      <c r="L18" s="40">
        <v>32</v>
      </c>
      <c r="M18" s="40">
        <v>29.5</v>
      </c>
      <c r="N18" s="41">
        <v>31.4</v>
      </c>
      <c r="O18" s="39">
        <v>29.1</v>
      </c>
      <c r="P18" s="40">
        <v>29.5</v>
      </c>
      <c r="Q18" s="40">
        <v>30.1</v>
      </c>
      <c r="R18" s="41">
        <v>32.3</v>
      </c>
      <c r="S18" s="39">
        <v>30.5</v>
      </c>
      <c r="T18" s="40">
        <v>31.9</v>
      </c>
      <c r="U18" s="40">
        <v>34</v>
      </c>
      <c r="V18" s="41">
        <v>36.2</v>
      </c>
      <c r="W18" s="39">
        <v>33.6</v>
      </c>
      <c r="X18" s="40">
        <v>34.7</v>
      </c>
      <c r="Y18" s="40">
        <v>35.1</v>
      </c>
      <c r="Z18" s="41">
        <v>44.7</v>
      </c>
      <c r="AA18" s="39">
        <v>39.9</v>
      </c>
      <c r="AB18" s="40">
        <v>40.7</v>
      </c>
      <c r="AC18" s="40">
        <v>39.3</v>
      </c>
      <c r="AD18" s="41">
        <v>44.1</v>
      </c>
      <c r="AE18" s="39">
        <v>38</v>
      </c>
      <c r="AF18" s="40">
        <v>38.5</v>
      </c>
      <c r="AG18" s="41">
        <v>39.6</v>
      </c>
      <c r="AH18" s="87"/>
      <c r="AI18" s="87"/>
      <c r="AM18" s="87"/>
      <c r="AN18" s="87"/>
      <c r="AO18" s="87"/>
    </row>
    <row r="19" spans="1:41" s="9" customFormat="1" ht="12.75">
      <c r="A19" s="90"/>
      <c r="B19" s="90" t="s">
        <v>44</v>
      </c>
      <c r="C19" s="39">
        <f>145.9+1</f>
        <v>146.9</v>
      </c>
      <c r="D19" s="40">
        <f>139.6+1</f>
        <v>140.6</v>
      </c>
      <c r="E19" s="40">
        <f>146.4+1</f>
        <v>147.4</v>
      </c>
      <c r="F19" s="40">
        <f>110.8+1</f>
        <v>111.8</v>
      </c>
      <c r="G19" s="39">
        <f>153.1+1.2</f>
        <v>154.29999999999998</v>
      </c>
      <c r="H19" s="40">
        <f>172.9+1.2</f>
        <v>174.1</v>
      </c>
      <c r="I19" s="40">
        <f>163.8+1.2</f>
        <v>165</v>
      </c>
      <c r="J19" s="41">
        <f>104+1.2</f>
        <v>105.2</v>
      </c>
      <c r="K19" s="39">
        <f>178.7+4.1</f>
        <v>182.79999999999998</v>
      </c>
      <c r="L19" s="40">
        <f>169.6+4.1</f>
        <v>173.7</v>
      </c>
      <c r="M19" s="40">
        <f>185+4.1</f>
        <v>189.1</v>
      </c>
      <c r="N19" s="41">
        <f>114.6+4.1</f>
        <v>118.69999999999999</v>
      </c>
      <c r="O19" s="39">
        <f>182.8+3.9</f>
        <v>186.70000000000002</v>
      </c>
      <c r="P19" s="68">
        <f>188.3+3.9</f>
        <v>192.20000000000002</v>
      </c>
      <c r="Q19" s="40">
        <f>178.9+3.9</f>
        <v>182.8</v>
      </c>
      <c r="R19" s="41">
        <f>111.8+3.9</f>
        <v>115.7</v>
      </c>
      <c r="S19" s="39">
        <f>178.5+9.1</f>
        <v>187.6</v>
      </c>
      <c r="T19" s="40">
        <f>181.9+9.1</f>
        <v>191</v>
      </c>
      <c r="U19" s="40">
        <f>177.2+9.1</f>
        <v>186.29999999999998</v>
      </c>
      <c r="V19" s="41">
        <f>160.1+9.1</f>
        <v>169.2</v>
      </c>
      <c r="W19" s="39">
        <f>202.3+11</f>
        <v>213.3</v>
      </c>
      <c r="X19" s="40">
        <f>206.2+11</f>
        <v>217.2</v>
      </c>
      <c r="Y19" s="40">
        <f>201+11</f>
        <v>212</v>
      </c>
      <c r="Z19" s="41">
        <f>163.8+11</f>
        <v>174.8</v>
      </c>
      <c r="AA19" s="39">
        <f>204.3+11.3</f>
        <v>215.60000000000002</v>
      </c>
      <c r="AB19" s="40">
        <f>198.6+11.4</f>
        <v>210</v>
      </c>
      <c r="AC19" s="40">
        <f>178.1+11.3</f>
        <v>189.4</v>
      </c>
      <c r="AD19" s="41">
        <f>151.5+11.3</f>
        <v>162.8</v>
      </c>
      <c r="AE19" s="39">
        <f>25.4+177.3</f>
        <v>202.70000000000002</v>
      </c>
      <c r="AF19" s="40">
        <f>26.7+174</f>
        <v>200.7</v>
      </c>
      <c r="AG19" s="41">
        <f>185+27.5</f>
        <v>212.5</v>
      </c>
      <c r="AH19" s="87"/>
      <c r="AI19" s="87"/>
      <c r="AM19" s="87"/>
      <c r="AN19" s="87"/>
      <c r="AO19" s="87"/>
    </row>
    <row r="20" spans="1:41" s="9" customFormat="1" ht="12.75" customHeight="1" hidden="1">
      <c r="A20" s="88"/>
      <c r="B20" s="88"/>
      <c r="C20" s="39"/>
      <c r="D20" s="40"/>
      <c r="E20" s="40"/>
      <c r="F20" s="40"/>
      <c r="G20" s="39"/>
      <c r="H20" s="40"/>
      <c r="I20" s="40"/>
      <c r="J20" s="41"/>
      <c r="K20" s="39"/>
      <c r="L20" s="40"/>
      <c r="M20" s="40"/>
      <c r="N20" s="41"/>
      <c r="O20" s="39"/>
      <c r="P20" s="40"/>
      <c r="Q20" s="40"/>
      <c r="R20" s="41"/>
      <c r="S20" s="39"/>
      <c r="T20" s="40"/>
      <c r="U20" s="40"/>
      <c r="V20" s="41"/>
      <c r="W20" s="39"/>
      <c r="X20" s="40"/>
      <c r="Y20" s="40"/>
      <c r="Z20" s="41"/>
      <c r="AA20" s="39"/>
      <c r="AB20" s="40"/>
      <c r="AC20" s="40"/>
      <c r="AD20" s="41"/>
      <c r="AE20" s="39"/>
      <c r="AF20" s="40"/>
      <c r="AG20" s="41"/>
      <c r="AH20" s="87"/>
      <c r="AI20" s="87"/>
      <c r="AM20" s="87"/>
      <c r="AN20" s="87"/>
      <c r="AO20" s="87"/>
    </row>
    <row r="21" spans="1:41" s="9" customFormat="1" ht="20.25">
      <c r="A21" s="88" t="s">
        <v>196</v>
      </c>
      <c r="B21" s="88" t="s">
        <v>709</v>
      </c>
      <c r="C21" s="39">
        <v>-6.3</v>
      </c>
      <c r="D21" s="40">
        <v>-26.7</v>
      </c>
      <c r="E21" s="40">
        <v>-64.4</v>
      </c>
      <c r="F21" s="40">
        <v>-5.8</v>
      </c>
      <c r="G21" s="39">
        <v>0.7</v>
      </c>
      <c r="H21" s="40">
        <v>-58.8</v>
      </c>
      <c r="I21" s="40">
        <v>7.2</v>
      </c>
      <c r="J21" s="41">
        <v>116.5</v>
      </c>
      <c r="K21" s="39">
        <v>91.7</v>
      </c>
      <c r="L21" s="40">
        <v>73.8</v>
      </c>
      <c r="M21" s="68">
        <v>54.1</v>
      </c>
      <c r="N21" s="69">
        <v>84.8</v>
      </c>
      <c r="O21" s="39">
        <v>48.1</v>
      </c>
      <c r="P21" s="68">
        <v>39.2</v>
      </c>
      <c r="Q21" s="40">
        <v>55.1</v>
      </c>
      <c r="R21" s="69">
        <v>61.2</v>
      </c>
      <c r="S21" s="39">
        <v>57.1</v>
      </c>
      <c r="T21" s="40">
        <v>37.7</v>
      </c>
      <c r="U21" s="40">
        <v>27.1</v>
      </c>
      <c r="V21" s="41">
        <v>50.5</v>
      </c>
      <c r="W21" s="39">
        <v>64.3</v>
      </c>
      <c r="X21" s="40">
        <v>131.2</v>
      </c>
      <c r="Y21" s="40">
        <v>82.60000000000002</v>
      </c>
      <c r="Z21" s="41">
        <v>84.7</v>
      </c>
      <c r="AA21" s="39">
        <v>58</v>
      </c>
      <c r="AB21" s="40">
        <f>64+5.1</f>
        <v>69.1</v>
      </c>
      <c r="AC21" s="40">
        <v>63.7</v>
      </c>
      <c r="AD21" s="41">
        <f>68+7.3+1.1</f>
        <v>76.39999999999999</v>
      </c>
      <c r="AE21" s="39">
        <v>84.1</v>
      </c>
      <c r="AF21" s="40">
        <v>33.3</v>
      </c>
      <c r="AG21" s="41">
        <v>65.2</v>
      </c>
      <c r="AH21" s="87"/>
      <c r="AI21" s="87"/>
      <c r="AM21" s="87"/>
      <c r="AN21" s="87"/>
      <c r="AO21" s="87"/>
    </row>
    <row r="22" spans="1:41" s="9" customFormat="1" ht="20.25">
      <c r="A22" s="88" t="s">
        <v>197</v>
      </c>
      <c r="B22" s="88" t="s">
        <v>710</v>
      </c>
      <c r="C22" s="39">
        <v>12.4</v>
      </c>
      <c r="D22" s="40">
        <v>10.9</v>
      </c>
      <c r="E22" s="40">
        <v>9.6</v>
      </c>
      <c r="F22" s="40">
        <v>10.7</v>
      </c>
      <c r="G22" s="39">
        <v>11.6</v>
      </c>
      <c r="H22" s="40">
        <v>14.2</v>
      </c>
      <c r="I22" s="40">
        <v>13</v>
      </c>
      <c r="J22" s="41">
        <f>9.3+0.1</f>
        <v>9.4</v>
      </c>
      <c r="K22" s="39">
        <v>10.1</v>
      </c>
      <c r="L22" s="40">
        <v>15.5</v>
      </c>
      <c r="M22" s="40">
        <v>10.4</v>
      </c>
      <c r="N22" s="41">
        <v>16.1</v>
      </c>
      <c r="O22" s="39">
        <v>7.3</v>
      </c>
      <c r="P22" s="40">
        <v>10.9</v>
      </c>
      <c r="Q22" s="40">
        <v>10.6</v>
      </c>
      <c r="R22" s="41">
        <v>12.4</v>
      </c>
      <c r="S22" s="39">
        <v>9.7</v>
      </c>
      <c r="T22" s="40">
        <v>13.2</v>
      </c>
      <c r="U22" s="40">
        <v>8.2</v>
      </c>
      <c r="V22" s="41">
        <v>10.1</v>
      </c>
      <c r="W22" s="39">
        <v>6.8</v>
      </c>
      <c r="X22" s="40">
        <v>11.2</v>
      </c>
      <c r="Y22" s="40">
        <v>7.600000000000001</v>
      </c>
      <c r="Z22" s="41">
        <v>10.1</v>
      </c>
      <c r="AA22" s="39">
        <v>9</v>
      </c>
      <c r="AB22" s="40">
        <v>7.8</v>
      </c>
      <c r="AC22" s="40">
        <v>9.3</v>
      </c>
      <c r="AD22" s="41">
        <v>12</v>
      </c>
      <c r="AE22" s="39">
        <v>11.2</v>
      </c>
      <c r="AF22" s="40">
        <v>1.1</v>
      </c>
      <c r="AG22" s="41">
        <v>0</v>
      </c>
      <c r="AH22" s="87"/>
      <c r="AI22" s="87"/>
      <c r="AM22" s="87"/>
      <c r="AN22" s="87"/>
      <c r="AO22" s="87"/>
    </row>
    <row r="23" spans="1:41" s="9" customFormat="1" ht="12" customHeight="1">
      <c r="A23" s="92" t="s">
        <v>198</v>
      </c>
      <c r="B23" s="92" t="s">
        <v>7</v>
      </c>
      <c r="C23" s="46">
        <f aca="true" t="shared" si="7" ref="C23:AF23">C15-C16-C21+C22</f>
        <v>209.40000000000006</v>
      </c>
      <c r="D23" s="47">
        <f t="shared" si="7"/>
        <v>203.90000000000018</v>
      </c>
      <c r="E23" s="47">
        <f>E15-E16-E21+E22</f>
        <v>249.79999999999995</v>
      </c>
      <c r="F23" s="47">
        <f t="shared" si="7"/>
        <v>123.89999999999992</v>
      </c>
      <c r="G23" s="46">
        <f t="shared" si="7"/>
        <v>214.3000000000001</v>
      </c>
      <c r="H23" s="47">
        <f t="shared" si="7"/>
        <v>294.5999999999999</v>
      </c>
      <c r="I23" s="47">
        <f t="shared" si="7"/>
        <v>205.30000000000007</v>
      </c>
      <c r="J23" s="48">
        <f t="shared" si="7"/>
        <v>-151.19999999999996</v>
      </c>
      <c r="K23" s="46">
        <f t="shared" si="7"/>
        <v>102.89999999999988</v>
      </c>
      <c r="L23" s="47">
        <f t="shared" si="7"/>
        <v>228.7</v>
      </c>
      <c r="M23" s="47">
        <f t="shared" si="7"/>
        <v>256.99999999999994</v>
      </c>
      <c r="N23" s="48">
        <f t="shared" si="7"/>
        <v>149.6999999999999</v>
      </c>
      <c r="O23" s="46">
        <f t="shared" si="7"/>
        <v>219.49999999999997</v>
      </c>
      <c r="P23" s="47">
        <f t="shared" si="7"/>
        <v>236.20000000000002</v>
      </c>
      <c r="Q23" s="47">
        <f t="shared" si="7"/>
        <v>237.39999999999986</v>
      </c>
      <c r="R23" s="48">
        <f t="shared" si="7"/>
        <v>240.99999999999997</v>
      </c>
      <c r="S23" s="46">
        <f t="shared" si="7"/>
        <v>267.1000000000001</v>
      </c>
      <c r="T23" s="47">
        <f t="shared" si="7"/>
        <v>289.99999999999994</v>
      </c>
      <c r="U23" s="47">
        <f t="shared" si="7"/>
        <v>276.59999999999997</v>
      </c>
      <c r="V23" s="48">
        <f t="shared" si="7"/>
        <v>283.90000000000003</v>
      </c>
      <c r="W23" s="46">
        <f t="shared" si="7"/>
        <v>317.6000000000001</v>
      </c>
      <c r="X23" s="47">
        <f t="shared" si="7"/>
        <v>207.29999999999995</v>
      </c>
      <c r="Y23" s="47">
        <f t="shared" si="7"/>
        <v>252.69999999999973</v>
      </c>
      <c r="Z23" s="48">
        <f t="shared" si="7"/>
        <v>238.50000000000003</v>
      </c>
      <c r="AA23" s="46">
        <f t="shared" si="7"/>
        <v>323.99999999999994</v>
      </c>
      <c r="AB23" s="47">
        <f t="shared" si="7"/>
        <v>267.99999999999994</v>
      </c>
      <c r="AC23" s="47">
        <f t="shared" si="7"/>
        <v>288.60000000000025</v>
      </c>
      <c r="AD23" s="48">
        <f t="shared" si="7"/>
        <v>312.3000000000001</v>
      </c>
      <c r="AE23" s="46">
        <f t="shared" si="7"/>
        <v>328.49999999999994</v>
      </c>
      <c r="AF23" s="47">
        <f t="shared" si="7"/>
        <v>383.90000000000003</v>
      </c>
      <c r="AG23" s="48">
        <f>AG15-AG16-AG21+AG22</f>
        <v>342.6000000000002</v>
      </c>
      <c r="AH23" s="87"/>
      <c r="AI23" s="87"/>
      <c r="AM23" s="87"/>
      <c r="AN23" s="87"/>
      <c r="AO23" s="87"/>
    </row>
    <row r="24" spans="1:41" s="9" customFormat="1" ht="12.75">
      <c r="A24" s="91" t="s">
        <v>199</v>
      </c>
      <c r="B24" s="91" t="s">
        <v>8</v>
      </c>
      <c r="C24" s="39">
        <v>38.6</v>
      </c>
      <c r="D24" s="40">
        <v>34.4</v>
      </c>
      <c r="E24" s="40">
        <v>50.8</v>
      </c>
      <c r="F24" s="40">
        <v>26.4</v>
      </c>
      <c r="G24" s="39">
        <v>40.5</v>
      </c>
      <c r="H24" s="40">
        <v>60.9</v>
      </c>
      <c r="I24" s="40">
        <v>38.4</v>
      </c>
      <c r="J24" s="41">
        <v>-22.2</v>
      </c>
      <c r="K24" s="39">
        <v>22.1</v>
      </c>
      <c r="L24" s="40">
        <v>46</v>
      </c>
      <c r="M24" s="40">
        <v>46.2</v>
      </c>
      <c r="N24" s="41">
        <v>28.9</v>
      </c>
      <c r="O24" s="39">
        <v>42</v>
      </c>
      <c r="P24" s="40">
        <v>44.7</v>
      </c>
      <c r="Q24" s="40">
        <v>45</v>
      </c>
      <c r="R24" s="41">
        <v>49.3</v>
      </c>
      <c r="S24" s="39">
        <v>54.6</v>
      </c>
      <c r="T24" s="40">
        <v>56.1</v>
      </c>
      <c r="U24" s="40">
        <f>56.5</f>
        <v>56.5</v>
      </c>
      <c r="V24" s="41">
        <v>70.3</v>
      </c>
      <c r="W24" s="39">
        <v>46.1</v>
      </c>
      <c r="X24" s="40">
        <v>39.7</v>
      </c>
      <c r="Y24" s="40">
        <v>49.5</v>
      </c>
      <c r="Z24" s="41">
        <v>48.5</v>
      </c>
      <c r="AA24" s="39">
        <f>63.8+0.3+0.3-0.1</f>
        <v>64.3</v>
      </c>
      <c r="AB24" s="40">
        <f>52.2-0.1-1</f>
        <v>51.1</v>
      </c>
      <c r="AC24" s="40">
        <f>53.5+0.7</f>
        <v>54.2</v>
      </c>
      <c r="AD24" s="41">
        <f>63.4-1.4-0.2</f>
        <v>61.8</v>
      </c>
      <c r="AE24" s="39">
        <v>73.9</v>
      </c>
      <c r="AF24" s="40">
        <v>101.5</v>
      </c>
      <c r="AG24" s="41">
        <v>69.5</v>
      </c>
      <c r="AH24" s="87"/>
      <c r="AI24" s="87"/>
      <c r="AM24" s="87"/>
      <c r="AN24" s="87"/>
      <c r="AO24" s="87"/>
    </row>
    <row r="25" spans="1:41" s="9" customFormat="1" ht="12.75">
      <c r="A25" s="92" t="s">
        <v>200</v>
      </c>
      <c r="B25" s="92" t="s">
        <v>9</v>
      </c>
      <c r="C25" s="46">
        <f>C23-C24</f>
        <v>170.80000000000007</v>
      </c>
      <c r="D25" s="47">
        <f aca="true" t="shared" si="8" ref="D25:X25">D23-D24</f>
        <v>169.50000000000017</v>
      </c>
      <c r="E25" s="47">
        <f t="shared" si="8"/>
        <v>198.99999999999994</v>
      </c>
      <c r="F25" s="47">
        <f t="shared" si="8"/>
        <v>97.49999999999991</v>
      </c>
      <c r="G25" s="46">
        <f t="shared" si="8"/>
        <v>173.8000000000001</v>
      </c>
      <c r="H25" s="47">
        <f t="shared" si="8"/>
        <v>233.6999999999999</v>
      </c>
      <c r="I25" s="47">
        <f t="shared" si="8"/>
        <v>166.90000000000006</v>
      </c>
      <c r="J25" s="48">
        <f t="shared" si="8"/>
        <v>-128.99999999999997</v>
      </c>
      <c r="K25" s="46">
        <f t="shared" si="8"/>
        <v>80.79999999999987</v>
      </c>
      <c r="L25" s="47">
        <f t="shared" si="8"/>
        <v>182.7</v>
      </c>
      <c r="M25" s="47">
        <f t="shared" si="8"/>
        <v>210.79999999999995</v>
      </c>
      <c r="N25" s="48">
        <f t="shared" si="8"/>
        <v>120.7999999999999</v>
      </c>
      <c r="O25" s="46">
        <f t="shared" si="8"/>
        <v>177.49999999999997</v>
      </c>
      <c r="P25" s="47">
        <f t="shared" si="8"/>
        <v>191.5</v>
      </c>
      <c r="Q25" s="47">
        <f t="shared" si="8"/>
        <v>192.39999999999986</v>
      </c>
      <c r="R25" s="48">
        <f t="shared" si="8"/>
        <v>191.7</v>
      </c>
      <c r="S25" s="46">
        <f t="shared" si="8"/>
        <v>212.50000000000009</v>
      </c>
      <c r="T25" s="47">
        <f t="shared" si="8"/>
        <v>233.89999999999995</v>
      </c>
      <c r="U25" s="47">
        <f t="shared" si="8"/>
        <v>220.09999999999997</v>
      </c>
      <c r="V25" s="48">
        <f t="shared" si="8"/>
        <v>213.60000000000002</v>
      </c>
      <c r="W25" s="46">
        <f t="shared" si="8"/>
        <v>271.50000000000006</v>
      </c>
      <c r="X25" s="47">
        <f t="shared" si="8"/>
        <v>167.59999999999997</v>
      </c>
      <c r="Y25" s="47">
        <f aca="true" t="shared" si="9" ref="Y25:AF25">Y23-Y24</f>
        <v>203.19999999999973</v>
      </c>
      <c r="Z25" s="48">
        <f t="shared" si="9"/>
        <v>190.00000000000003</v>
      </c>
      <c r="AA25" s="46">
        <f t="shared" si="9"/>
        <v>259.69999999999993</v>
      </c>
      <c r="AB25" s="47">
        <f t="shared" si="9"/>
        <v>216.89999999999995</v>
      </c>
      <c r="AC25" s="47">
        <f t="shared" si="9"/>
        <v>234.40000000000026</v>
      </c>
      <c r="AD25" s="48">
        <f t="shared" si="9"/>
        <v>250.5000000000001</v>
      </c>
      <c r="AE25" s="46">
        <f t="shared" si="9"/>
        <v>254.59999999999994</v>
      </c>
      <c r="AF25" s="47">
        <f t="shared" si="9"/>
        <v>282.40000000000003</v>
      </c>
      <c r="AG25" s="48">
        <f>AG23-AG24</f>
        <v>273.1000000000002</v>
      </c>
      <c r="AH25" s="87"/>
      <c r="AI25" s="87"/>
      <c r="AM25" s="87"/>
      <c r="AN25" s="87"/>
      <c r="AO25" s="87"/>
    </row>
    <row r="26" spans="1:41" s="13" customFormat="1" ht="12.75">
      <c r="A26" s="93" t="s">
        <v>391</v>
      </c>
      <c r="B26" s="93" t="s">
        <v>424</v>
      </c>
      <c r="C26" s="94">
        <f>C25-C27</f>
        <v>167.40000000000006</v>
      </c>
      <c r="D26" s="95">
        <f aca="true" t="shared" si="10" ref="D26:V26">D25-D27</f>
        <v>167.80000000000018</v>
      </c>
      <c r="E26" s="95">
        <f t="shared" si="10"/>
        <v>197.99999999999994</v>
      </c>
      <c r="F26" s="95">
        <f t="shared" si="10"/>
        <v>97.49999999999991</v>
      </c>
      <c r="G26" s="94">
        <f t="shared" si="10"/>
        <v>173.8000000000001</v>
      </c>
      <c r="H26" s="95">
        <f t="shared" si="10"/>
        <v>233.6999999999999</v>
      </c>
      <c r="I26" s="95">
        <f t="shared" si="10"/>
        <v>166.90000000000006</v>
      </c>
      <c r="J26" s="96">
        <f t="shared" si="10"/>
        <v>-128.99999999999997</v>
      </c>
      <c r="K26" s="95">
        <f t="shared" si="10"/>
        <v>80.79999999999987</v>
      </c>
      <c r="L26" s="95">
        <f t="shared" si="10"/>
        <v>182.7</v>
      </c>
      <c r="M26" s="95">
        <f t="shared" si="10"/>
        <v>210.79999999999995</v>
      </c>
      <c r="N26" s="95">
        <f t="shared" si="10"/>
        <v>120.7999999999999</v>
      </c>
      <c r="O26" s="94">
        <f t="shared" si="10"/>
        <v>177.49999999999997</v>
      </c>
      <c r="P26" s="95">
        <f t="shared" si="10"/>
        <v>191.5</v>
      </c>
      <c r="Q26" s="95">
        <f t="shared" si="10"/>
        <v>192.39999999999986</v>
      </c>
      <c r="R26" s="96">
        <f t="shared" si="10"/>
        <v>191.7</v>
      </c>
      <c r="S26" s="94">
        <f t="shared" si="10"/>
        <v>212.50000000000009</v>
      </c>
      <c r="T26" s="95">
        <f t="shared" si="10"/>
        <v>233.89999999999995</v>
      </c>
      <c r="U26" s="95">
        <f t="shared" si="10"/>
        <v>220.09999999999997</v>
      </c>
      <c r="V26" s="96">
        <f t="shared" si="10"/>
        <v>213.60000000000002</v>
      </c>
      <c r="W26" s="94">
        <f aca="true" t="shared" si="11" ref="W26:AB26">W25-W27</f>
        <v>271.50000000000006</v>
      </c>
      <c r="X26" s="95">
        <f t="shared" si="11"/>
        <v>167.59999999999997</v>
      </c>
      <c r="Y26" s="95">
        <f t="shared" si="11"/>
        <v>203.19999999999973</v>
      </c>
      <c r="Z26" s="96">
        <f t="shared" si="11"/>
        <v>190.00000000000003</v>
      </c>
      <c r="AA26" s="94">
        <f t="shared" si="11"/>
        <v>259.69999999999993</v>
      </c>
      <c r="AB26" s="95">
        <f t="shared" si="11"/>
        <v>216.89999999999995</v>
      </c>
      <c r="AC26" s="95">
        <f>AC25-AC27</f>
        <v>234.40000000000026</v>
      </c>
      <c r="AD26" s="96">
        <f>AD25-AD27</f>
        <v>250.5000000000001</v>
      </c>
      <c r="AE26" s="94">
        <f>AE25-AE27</f>
        <v>254.59999999999994</v>
      </c>
      <c r="AF26" s="95">
        <f>AF25-AF27</f>
        <v>282.3</v>
      </c>
      <c r="AG26" s="96">
        <f>AG25-AG27</f>
        <v>273.00000000000017</v>
      </c>
      <c r="AH26" s="87"/>
      <c r="AI26" s="87"/>
      <c r="AM26" s="87"/>
      <c r="AN26" s="87"/>
      <c r="AO26" s="87"/>
    </row>
    <row r="27" spans="1:41" ht="12.75">
      <c r="A27" s="90" t="s">
        <v>201</v>
      </c>
      <c r="B27" s="90" t="s">
        <v>10</v>
      </c>
      <c r="C27" s="39">
        <v>3.4</v>
      </c>
      <c r="D27" s="40">
        <v>1.7</v>
      </c>
      <c r="E27" s="40">
        <v>1</v>
      </c>
      <c r="F27" s="40">
        <v>0</v>
      </c>
      <c r="G27" s="39">
        <v>0</v>
      </c>
      <c r="H27" s="40">
        <v>0</v>
      </c>
      <c r="I27" s="40">
        <v>0</v>
      </c>
      <c r="J27" s="41">
        <v>0</v>
      </c>
      <c r="K27" s="39">
        <v>0</v>
      </c>
      <c r="L27" s="40">
        <v>0</v>
      </c>
      <c r="M27" s="40">
        <v>0</v>
      </c>
      <c r="N27" s="41">
        <v>0</v>
      </c>
      <c r="O27" s="39">
        <v>0</v>
      </c>
      <c r="P27" s="40">
        <v>0</v>
      </c>
      <c r="Q27" s="40">
        <v>0</v>
      </c>
      <c r="R27" s="41">
        <v>0</v>
      </c>
      <c r="S27" s="39">
        <v>0</v>
      </c>
      <c r="T27" s="40">
        <v>0</v>
      </c>
      <c r="U27" s="40">
        <v>0</v>
      </c>
      <c r="V27" s="41">
        <v>0</v>
      </c>
      <c r="W27" s="39">
        <v>0</v>
      </c>
      <c r="X27" s="40">
        <v>0</v>
      </c>
      <c r="Y27" s="40">
        <v>0</v>
      </c>
      <c r="Z27" s="41">
        <v>0</v>
      </c>
      <c r="AA27" s="39">
        <v>0</v>
      </c>
      <c r="AB27" s="40">
        <v>0</v>
      </c>
      <c r="AC27" s="40">
        <v>0</v>
      </c>
      <c r="AD27" s="41">
        <v>0</v>
      </c>
      <c r="AE27" s="39">
        <v>0</v>
      </c>
      <c r="AF27" s="40">
        <v>0.1</v>
      </c>
      <c r="AG27" s="41">
        <v>0.1</v>
      </c>
      <c r="AH27" s="87"/>
      <c r="AI27" s="87"/>
      <c r="AM27" s="87"/>
      <c r="AN27" s="87"/>
      <c r="AO27" s="87"/>
    </row>
    <row r="28" spans="3:36" ht="12.75" hidden="1">
      <c r="C28" s="97">
        <f>C29-C23</f>
        <v>0</v>
      </c>
      <c r="D28" s="97">
        <f aca="true" t="shared" si="12" ref="D28:AD28">D29-D23</f>
        <v>0</v>
      </c>
      <c r="E28" s="97">
        <f t="shared" si="12"/>
        <v>0</v>
      </c>
      <c r="F28" s="97">
        <f t="shared" si="12"/>
        <v>0</v>
      </c>
      <c r="G28" s="97">
        <f t="shared" si="12"/>
        <v>0</v>
      </c>
      <c r="H28" s="97">
        <f t="shared" si="12"/>
        <v>0</v>
      </c>
      <c r="I28" s="97">
        <f t="shared" si="12"/>
        <v>0</v>
      </c>
      <c r="J28" s="97">
        <f t="shared" si="12"/>
        <v>0</v>
      </c>
      <c r="K28" s="97">
        <f t="shared" si="12"/>
        <v>0</v>
      </c>
      <c r="L28" s="97">
        <f t="shared" si="12"/>
        <v>0</v>
      </c>
      <c r="M28" s="97">
        <f t="shared" si="12"/>
        <v>0</v>
      </c>
      <c r="N28" s="97">
        <f t="shared" si="12"/>
        <v>0</v>
      </c>
      <c r="O28" s="97">
        <f t="shared" si="12"/>
        <v>0</v>
      </c>
      <c r="P28" s="97">
        <f t="shared" si="12"/>
        <v>0</v>
      </c>
      <c r="Q28" s="97">
        <f t="shared" si="12"/>
        <v>0</v>
      </c>
      <c r="R28" s="97">
        <f t="shared" si="12"/>
        <v>0</v>
      </c>
      <c r="S28" s="97">
        <f t="shared" si="12"/>
        <v>0</v>
      </c>
      <c r="T28" s="97">
        <f t="shared" si="12"/>
        <v>0</v>
      </c>
      <c r="U28" s="97">
        <f t="shared" si="12"/>
        <v>0</v>
      </c>
      <c r="V28" s="97">
        <f t="shared" si="12"/>
        <v>0</v>
      </c>
      <c r="W28" s="97">
        <f t="shared" si="12"/>
        <v>0</v>
      </c>
      <c r="X28" s="97">
        <f t="shared" si="12"/>
        <v>0</v>
      </c>
      <c r="Y28" s="97">
        <f t="shared" si="12"/>
        <v>0</v>
      </c>
      <c r="Z28" s="97">
        <f t="shared" si="12"/>
        <v>0</v>
      </c>
      <c r="AA28" s="97">
        <f t="shared" si="12"/>
        <v>0</v>
      </c>
      <c r="AB28" s="97">
        <f t="shared" si="12"/>
        <v>0</v>
      </c>
      <c r="AC28" s="97">
        <f t="shared" si="12"/>
        <v>0</v>
      </c>
      <c r="AD28" s="97">
        <f t="shared" si="12"/>
        <v>0</v>
      </c>
      <c r="AE28" s="97"/>
      <c r="AF28" s="97"/>
      <c r="AG28" s="87">
        <f aca="true" t="shared" si="13" ref="AG28:AG70">AA28+AB28+AC28+AD28</f>
        <v>0</v>
      </c>
      <c r="AH28" s="87"/>
      <c r="AI28" s="87">
        <f aca="true" t="shared" si="14" ref="AI28:AI70">AE28+AF28</f>
        <v>0</v>
      </c>
      <c r="AJ28" s="87"/>
    </row>
    <row r="29" spans="1:36" s="25" customFormat="1" ht="12.75" hidden="1">
      <c r="A29" s="267" t="s">
        <v>198</v>
      </c>
      <c r="B29" s="267" t="s">
        <v>7</v>
      </c>
      <c r="C29" s="268">
        <v>209.40000000000012</v>
      </c>
      <c r="D29" s="268">
        <v>203.90000000000018</v>
      </c>
      <c r="E29" s="268">
        <v>249.79999999999995</v>
      </c>
      <c r="F29" s="268">
        <v>123.89999999999992</v>
      </c>
      <c r="G29" s="268">
        <v>214.29999999999998</v>
      </c>
      <c r="H29" s="268">
        <v>294.59999999999985</v>
      </c>
      <c r="I29" s="268">
        <v>205.3</v>
      </c>
      <c r="J29" s="268">
        <v>-151.20000000000002</v>
      </c>
      <c r="K29" s="268">
        <v>102.89999999999982</v>
      </c>
      <c r="L29" s="268">
        <v>228.7</v>
      </c>
      <c r="M29" s="268">
        <v>256.9999999999999</v>
      </c>
      <c r="N29" s="268">
        <v>149.69999999999985</v>
      </c>
      <c r="O29" s="268">
        <v>219.49999999999997</v>
      </c>
      <c r="P29" s="268">
        <v>236.20000000000007</v>
      </c>
      <c r="Q29" s="268">
        <v>237.39999999999992</v>
      </c>
      <c r="R29" s="268">
        <v>240.99999999999997</v>
      </c>
      <c r="S29" s="268">
        <v>267.0999999999999</v>
      </c>
      <c r="T29" s="268">
        <v>289.9999999999999</v>
      </c>
      <c r="U29" s="268">
        <v>276.59999999999997</v>
      </c>
      <c r="V29" s="268">
        <v>283.9000000000001</v>
      </c>
      <c r="W29" s="268">
        <v>317.6000000000001</v>
      </c>
      <c r="X29" s="268">
        <v>207.29999999999995</v>
      </c>
      <c r="Y29" s="268">
        <v>252.69999999999973</v>
      </c>
      <c r="Z29" s="268">
        <v>238.50000000000003</v>
      </c>
      <c r="AA29" s="268">
        <v>324</v>
      </c>
      <c r="AB29" s="268">
        <v>267.99999999999983</v>
      </c>
      <c r="AC29" s="268">
        <v>288.60000000000025</v>
      </c>
      <c r="AD29" s="268">
        <v>312.30000000000007</v>
      </c>
      <c r="AG29" s="87">
        <f t="shared" si="13"/>
        <v>1192.9</v>
      </c>
      <c r="AH29" s="87"/>
      <c r="AI29" s="87">
        <f t="shared" si="14"/>
        <v>0</v>
      </c>
      <c r="AJ29" s="269"/>
    </row>
    <row r="30" spans="1:35" s="25" customFormat="1" ht="12.75" hidden="1">
      <c r="A30" s="25" t="s">
        <v>391</v>
      </c>
      <c r="B30" s="25" t="s">
        <v>424</v>
      </c>
      <c r="C30" s="25">
        <v>167.40000000000012</v>
      </c>
      <c r="D30" s="25">
        <v>167.80000000000018</v>
      </c>
      <c r="E30" s="25">
        <v>197.99999999999994</v>
      </c>
      <c r="F30" s="25">
        <v>97.49999999999991</v>
      </c>
      <c r="G30" s="25">
        <v>173.79999999999998</v>
      </c>
      <c r="H30" s="25">
        <v>233.69999999999985</v>
      </c>
      <c r="I30" s="25">
        <v>166.9</v>
      </c>
      <c r="J30" s="25">
        <v>-129.00000000000003</v>
      </c>
      <c r="K30" s="25">
        <v>80.79999999999981</v>
      </c>
      <c r="L30" s="25">
        <v>182.7</v>
      </c>
      <c r="M30" s="25">
        <v>210.7999999999999</v>
      </c>
      <c r="N30" s="25">
        <v>120.79999999999984</v>
      </c>
      <c r="O30" s="25">
        <v>177.49999999999997</v>
      </c>
      <c r="P30" s="25">
        <v>191.50000000000006</v>
      </c>
      <c r="Q30" s="25">
        <v>192.39999999999992</v>
      </c>
      <c r="R30" s="25">
        <v>191.7</v>
      </c>
      <c r="S30" s="25">
        <v>212.49999999999991</v>
      </c>
      <c r="T30" s="25">
        <v>233.8999999999999</v>
      </c>
      <c r="U30" s="25">
        <v>220.09999999999997</v>
      </c>
      <c r="V30" s="25">
        <v>213.60000000000008</v>
      </c>
      <c r="W30" s="25">
        <v>271.50000000000006</v>
      </c>
      <c r="X30" s="25">
        <v>167.59999999999997</v>
      </c>
      <c r="Y30" s="25">
        <v>203.19999999999973</v>
      </c>
      <c r="Z30" s="25">
        <v>190.00000000000003</v>
      </c>
      <c r="AA30" s="25">
        <v>259.7</v>
      </c>
      <c r="AB30" s="25">
        <v>216.89999999999984</v>
      </c>
      <c r="AC30" s="25">
        <v>234.40000000000026</v>
      </c>
      <c r="AD30" s="25">
        <v>250.50000000000006</v>
      </c>
      <c r="AG30" s="87">
        <f t="shared" si="13"/>
        <v>961.5</v>
      </c>
      <c r="AH30" s="87"/>
      <c r="AI30" s="87">
        <f t="shared" si="14"/>
        <v>0</v>
      </c>
    </row>
    <row r="31" spans="3:36" s="25" customFormat="1" ht="12.75" hidden="1">
      <c r="C31" s="268">
        <f>C30-C26</f>
        <v>0</v>
      </c>
      <c r="D31" s="268">
        <f aca="true" t="shared" si="15" ref="D31:AD31">D30-D26</f>
        <v>0</v>
      </c>
      <c r="E31" s="268">
        <f t="shared" si="15"/>
        <v>0</v>
      </c>
      <c r="F31" s="268">
        <f t="shared" si="15"/>
        <v>0</v>
      </c>
      <c r="G31" s="268">
        <f t="shared" si="15"/>
        <v>0</v>
      </c>
      <c r="H31" s="268">
        <f t="shared" si="15"/>
        <v>0</v>
      </c>
      <c r="I31" s="268">
        <f t="shared" si="15"/>
        <v>0</v>
      </c>
      <c r="J31" s="268">
        <f t="shared" si="15"/>
        <v>0</v>
      </c>
      <c r="K31" s="268">
        <f t="shared" si="15"/>
        <v>0</v>
      </c>
      <c r="L31" s="268">
        <f t="shared" si="15"/>
        <v>0</v>
      </c>
      <c r="M31" s="268">
        <f t="shared" si="15"/>
        <v>0</v>
      </c>
      <c r="N31" s="268">
        <f t="shared" si="15"/>
        <v>0</v>
      </c>
      <c r="O31" s="268">
        <f t="shared" si="15"/>
        <v>0</v>
      </c>
      <c r="P31" s="268">
        <f t="shared" si="15"/>
        <v>0</v>
      </c>
      <c r="Q31" s="268">
        <f t="shared" si="15"/>
        <v>0</v>
      </c>
      <c r="R31" s="268">
        <f t="shared" si="15"/>
        <v>0</v>
      </c>
      <c r="S31" s="268">
        <f t="shared" si="15"/>
        <v>0</v>
      </c>
      <c r="T31" s="268">
        <f t="shared" si="15"/>
        <v>0</v>
      </c>
      <c r="U31" s="268">
        <f t="shared" si="15"/>
        <v>0</v>
      </c>
      <c r="V31" s="268">
        <f t="shared" si="15"/>
        <v>0</v>
      </c>
      <c r="W31" s="268">
        <f t="shared" si="15"/>
        <v>0</v>
      </c>
      <c r="X31" s="268">
        <f t="shared" si="15"/>
        <v>0</v>
      </c>
      <c r="Y31" s="268">
        <f t="shared" si="15"/>
        <v>0</v>
      </c>
      <c r="Z31" s="268">
        <f t="shared" si="15"/>
        <v>0</v>
      </c>
      <c r="AA31" s="268">
        <f t="shared" si="15"/>
        <v>0</v>
      </c>
      <c r="AB31" s="268">
        <f t="shared" si="15"/>
        <v>0</v>
      </c>
      <c r="AC31" s="268">
        <f t="shared" si="15"/>
        <v>0</v>
      </c>
      <c r="AD31" s="268">
        <f t="shared" si="15"/>
        <v>0</v>
      </c>
      <c r="AE31" s="268"/>
      <c r="AG31" s="87">
        <f t="shared" si="13"/>
        <v>0</v>
      </c>
      <c r="AH31" s="87"/>
      <c r="AI31" s="87">
        <f t="shared" si="14"/>
        <v>0</v>
      </c>
      <c r="AJ31" s="268"/>
    </row>
    <row r="32" spans="1:35" ht="12.75" hidden="1">
      <c r="A32" s="3"/>
      <c r="B32" s="3"/>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G32" s="87">
        <f t="shared" si="13"/>
        <v>0</v>
      </c>
      <c r="AH32" s="87"/>
      <c r="AI32" s="87">
        <f t="shared" si="14"/>
        <v>0</v>
      </c>
    </row>
    <row r="33" spans="1:36" ht="12.75" hidden="1">
      <c r="A33" s="3"/>
      <c r="B33" s="3"/>
      <c r="C33" s="3">
        <v>2007</v>
      </c>
      <c r="G33" s="3">
        <v>2008</v>
      </c>
      <c r="K33" s="3">
        <v>2009</v>
      </c>
      <c r="O33" s="3">
        <v>2010</v>
      </c>
      <c r="S33" s="3">
        <v>2011</v>
      </c>
      <c r="W33" s="3">
        <v>2012</v>
      </c>
      <c r="AA33" s="3">
        <v>2013</v>
      </c>
      <c r="AE33" s="97"/>
      <c r="AF33" s="97"/>
      <c r="AG33" s="87">
        <f t="shared" si="13"/>
        <v>2013</v>
      </c>
      <c r="AH33" s="87"/>
      <c r="AI33" s="87">
        <f t="shared" si="14"/>
        <v>0</v>
      </c>
      <c r="AJ33" s="97"/>
    </row>
    <row r="34" spans="1:35" ht="12.75" hidden="1">
      <c r="A34" s="3"/>
      <c r="B34" s="3"/>
      <c r="C34" s="97" t="s">
        <v>180</v>
      </c>
      <c r="D34" s="97" t="s">
        <v>181</v>
      </c>
      <c r="E34" s="97" t="s">
        <v>182</v>
      </c>
      <c r="F34" s="97" t="s">
        <v>183</v>
      </c>
      <c r="G34" s="97" t="s">
        <v>180</v>
      </c>
      <c r="H34" s="97" t="s">
        <v>181</v>
      </c>
      <c r="I34" s="97" t="s">
        <v>182</v>
      </c>
      <c r="J34" s="97" t="s">
        <v>183</v>
      </c>
      <c r="K34" s="97" t="s">
        <v>180</v>
      </c>
      <c r="L34" s="97" t="s">
        <v>181</v>
      </c>
      <c r="M34" s="97" t="s">
        <v>182</v>
      </c>
      <c r="N34" s="97" t="s">
        <v>183</v>
      </c>
      <c r="O34" s="97" t="s">
        <v>180</v>
      </c>
      <c r="P34" s="97" t="s">
        <v>181</v>
      </c>
      <c r="Q34" s="97" t="s">
        <v>182</v>
      </c>
      <c r="R34" s="97" t="s">
        <v>183</v>
      </c>
      <c r="S34" s="97" t="s">
        <v>180</v>
      </c>
      <c r="T34" s="97" t="s">
        <v>181</v>
      </c>
      <c r="U34" s="97" t="s">
        <v>182</v>
      </c>
      <c r="V34" s="97" t="s">
        <v>183</v>
      </c>
      <c r="W34" s="97" t="s">
        <v>180</v>
      </c>
      <c r="X34" s="97" t="s">
        <v>181</v>
      </c>
      <c r="Y34" s="97" t="s">
        <v>182</v>
      </c>
      <c r="Z34" s="97" t="s">
        <v>183</v>
      </c>
      <c r="AA34" s="97" t="s">
        <v>180</v>
      </c>
      <c r="AB34" s="97" t="s">
        <v>181</v>
      </c>
      <c r="AC34" s="97" t="s">
        <v>182</v>
      </c>
      <c r="AD34" s="97" t="s">
        <v>183</v>
      </c>
      <c r="AG34" s="87" t="e">
        <f t="shared" si="13"/>
        <v>#VALUE!</v>
      </c>
      <c r="AH34" s="87"/>
      <c r="AI34" s="87">
        <f t="shared" si="14"/>
        <v>0</v>
      </c>
    </row>
    <row r="35" spans="1:35" ht="12.75" hidden="1">
      <c r="A35" s="3"/>
      <c r="B35" s="3"/>
      <c r="C35" s="3">
        <v>1</v>
      </c>
      <c r="D35" s="3">
        <v>1</v>
      </c>
      <c r="E35" s="3">
        <v>1</v>
      </c>
      <c r="F35" s="3">
        <v>1</v>
      </c>
      <c r="G35" s="3">
        <v>1.2</v>
      </c>
      <c r="H35" s="3">
        <v>1.2</v>
      </c>
      <c r="I35" s="3">
        <v>1.2</v>
      </c>
      <c r="J35" s="3">
        <v>1.2</v>
      </c>
      <c r="K35" s="3">
        <v>4.1</v>
      </c>
      <c r="L35" s="3">
        <v>4.1</v>
      </c>
      <c r="M35" s="3">
        <v>4.1</v>
      </c>
      <c r="N35" s="3">
        <v>4.1</v>
      </c>
      <c r="O35" s="3">
        <v>3.9</v>
      </c>
      <c r="P35" s="3">
        <v>3.9</v>
      </c>
      <c r="Q35" s="3">
        <v>3.9</v>
      </c>
      <c r="R35" s="3">
        <v>3.9</v>
      </c>
      <c r="S35" s="3">
        <v>9.1</v>
      </c>
      <c r="T35" s="3">
        <v>9.1</v>
      </c>
      <c r="U35" s="3">
        <v>9.1</v>
      </c>
      <c r="V35" s="3">
        <v>9.1</v>
      </c>
      <c r="W35" s="3">
        <v>11</v>
      </c>
      <c r="X35" s="3">
        <v>11</v>
      </c>
      <c r="Y35" s="3">
        <v>11</v>
      </c>
      <c r="Z35" s="3">
        <v>11</v>
      </c>
      <c r="AA35" s="3">
        <v>11.3</v>
      </c>
      <c r="AB35" s="3">
        <v>11.4</v>
      </c>
      <c r="AC35" s="3">
        <v>11.3</v>
      </c>
      <c r="AD35" s="3">
        <v>11.3</v>
      </c>
      <c r="AG35" s="87">
        <f t="shared" si="13"/>
        <v>45.3</v>
      </c>
      <c r="AH35" s="87"/>
      <c r="AI35" s="87">
        <f t="shared" si="14"/>
        <v>0</v>
      </c>
    </row>
    <row r="36" spans="3:35" s="25" customFormat="1" ht="12.75" hidden="1">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G36" s="87">
        <f t="shared" si="13"/>
        <v>0</v>
      </c>
      <c r="AH36" s="87"/>
      <c r="AI36" s="87">
        <f t="shared" si="14"/>
        <v>0</v>
      </c>
    </row>
    <row r="37" spans="3:35" s="25" customFormat="1" ht="12.75" hidden="1">
      <c r="C37" s="268">
        <f>C39-C38</f>
        <v>1</v>
      </c>
      <c r="D37" s="268">
        <f aca="true" t="shared" si="16" ref="D37:AD37">D39-D38</f>
        <v>1</v>
      </c>
      <c r="E37" s="268">
        <f t="shared" si="16"/>
        <v>1</v>
      </c>
      <c r="F37" s="268">
        <f t="shared" si="16"/>
        <v>1</v>
      </c>
      <c r="G37" s="268">
        <f t="shared" si="16"/>
        <v>1.1999999999999993</v>
      </c>
      <c r="H37" s="268">
        <f t="shared" si="16"/>
        <v>1.1999999999999993</v>
      </c>
      <c r="I37" s="268">
        <f t="shared" si="16"/>
        <v>1.1999999999999993</v>
      </c>
      <c r="J37" s="268">
        <f t="shared" si="16"/>
        <v>1.1999999999999993</v>
      </c>
      <c r="K37" s="268">
        <f t="shared" si="16"/>
        <v>4.100000000000001</v>
      </c>
      <c r="L37" s="268">
        <f t="shared" si="16"/>
        <v>4.100000000000001</v>
      </c>
      <c r="M37" s="268">
        <f t="shared" si="16"/>
        <v>4.100000000000001</v>
      </c>
      <c r="N37" s="268">
        <f t="shared" si="16"/>
        <v>4.100000000000001</v>
      </c>
      <c r="O37" s="268">
        <f t="shared" si="16"/>
        <v>3.8999999999999986</v>
      </c>
      <c r="P37" s="268">
        <f t="shared" si="16"/>
        <v>3.8999999999999986</v>
      </c>
      <c r="Q37" s="268">
        <f t="shared" si="16"/>
        <v>3.8999999999999986</v>
      </c>
      <c r="R37" s="268">
        <f t="shared" si="16"/>
        <v>3.8999999999999986</v>
      </c>
      <c r="S37" s="268">
        <f t="shared" si="16"/>
        <v>9.100000000000001</v>
      </c>
      <c r="T37" s="268">
        <f t="shared" si="16"/>
        <v>9.100000000000001</v>
      </c>
      <c r="U37" s="268">
        <f t="shared" si="16"/>
        <v>9.100000000000001</v>
      </c>
      <c r="V37" s="268">
        <f t="shared" si="16"/>
        <v>9.100000000000001</v>
      </c>
      <c r="W37" s="268">
        <f t="shared" si="16"/>
        <v>11</v>
      </c>
      <c r="X37" s="268">
        <f t="shared" si="16"/>
        <v>11</v>
      </c>
      <c r="Y37" s="268">
        <f t="shared" si="16"/>
        <v>10.999999999999993</v>
      </c>
      <c r="Z37" s="268">
        <f t="shared" si="16"/>
        <v>11</v>
      </c>
      <c r="AA37" s="268">
        <f t="shared" si="16"/>
        <v>11.600000000000001</v>
      </c>
      <c r="AB37" s="268">
        <f t="shared" si="16"/>
        <v>11.599999999999998</v>
      </c>
      <c r="AC37" s="268">
        <f t="shared" si="16"/>
        <v>11.600000000000009</v>
      </c>
      <c r="AD37" s="268">
        <f t="shared" si="16"/>
        <v>11.8</v>
      </c>
      <c r="AG37" s="87">
        <f t="shared" si="13"/>
        <v>46.60000000000001</v>
      </c>
      <c r="AH37" s="87"/>
      <c r="AI37" s="87">
        <f t="shared" si="14"/>
        <v>0</v>
      </c>
    </row>
    <row r="38" spans="3:35" s="25" customFormat="1" ht="12.75" hidden="1">
      <c r="C38" s="268">
        <f>C9</f>
        <v>15.7</v>
      </c>
      <c r="D38" s="268">
        <f aca="true" t="shared" si="17" ref="D38:AD38">D9</f>
        <v>14.2</v>
      </c>
      <c r="E38" s="268">
        <f t="shared" si="17"/>
        <v>20.1</v>
      </c>
      <c r="F38" s="268">
        <f t="shared" si="17"/>
        <v>28</v>
      </c>
      <c r="G38" s="268">
        <f t="shared" si="17"/>
        <v>20.900000000000002</v>
      </c>
      <c r="H38" s="268">
        <f t="shared" si="17"/>
        <v>18.7</v>
      </c>
      <c r="I38" s="268">
        <f t="shared" si="17"/>
        <v>15.2</v>
      </c>
      <c r="J38" s="268">
        <f t="shared" si="17"/>
        <v>28.400000000000002</v>
      </c>
      <c r="K38" s="268">
        <f t="shared" si="17"/>
        <v>18</v>
      </c>
      <c r="L38" s="268">
        <f t="shared" si="17"/>
        <v>21.299999999999997</v>
      </c>
      <c r="M38" s="268">
        <f t="shared" si="17"/>
        <v>20.9</v>
      </c>
      <c r="N38" s="268">
        <f t="shared" si="17"/>
        <v>44.1</v>
      </c>
      <c r="O38" s="268">
        <f t="shared" si="17"/>
        <v>31.700000000000003</v>
      </c>
      <c r="P38" s="268">
        <f t="shared" si="17"/>
        <v>26.8</v>
      </c>
      <c r="Q38" s="268">
        <f t="shared" si="17"/>
        <v>27.700000000000003</v>
      </c>
      <c r="R38" s="268">
        <f t="shared" si="17"/>
        <v>28</v>
      </c>
      <c r="S38" s="268">
        <f t="shared" si="17"/>
        <v>25.4</v>
      </c>
      <c r="T38" s="268">
        <f t="shared" si="17"/>
        <v>28.199999999999996</v>
      </c>
      <c r="U38" s="268">
        <f t="shared" si="17"/>
        <v>27.199999999999996</v>
      </c>
      <c r="V38" s="268">
        <f t="shared" si="17"/>
        <v>31.699999999999996</v>
      </c>
      <c r="W38" s="268">
        <f t="shared" si="17"/>
        <v>22.700000000000003</v>
      </c>
      <c r="X38" s="268">
        <f t="shared" si="17"/>
        <v>24</v>
      </c>
      <c r="Y38" s="268">
        <f t="shared" si="17"/>
        <v>21.6</v>
      </c>
      <c r="Z38" s="268">
        <f t="shared" si="17"/>
        <v>25.9</v>
      </c>
      <c r="AA38" s="268">
        <f t="shared" si="17"/>
        <v>19.9</v>
      </c>
      <c r="AB38" s="268">
        <f t="shared" si="17"/>
        <v>22.2</v>
      </c>
      <c r="AC38" s="268">
        <f t="shared" si="17"/>
        <v>22</v>
      </c>
      <c r="AD38" s="268">
        <f t="shared" si="17"/>
        <v>26.900000000000002</v>
      </c>
      <c r="AG38" s="87">
        <f t="shared" si="13"/>
        <v>91</v>
      </c>
      <c r="AH38" s="87"/>
      <c r="AI38" s="87">
        <f t="shared" si="14"/>
        <v>0</v>
      </c>
    </row>
    <row r="39" spans="1:35" ht="12.75" hidden="1">
      <c r="A39" s="3"/>
      <c r="B39" s="3"/>
      <c r="C39" s="3">
        <v>16.7</v>
      </c>
      <c r="D39" s="3">
        <v>15.2</v>
      </c>
      <c r="E39" s="3">
        <v>21.1</v>
      </c>
      <c r="F39" s="3">
        <v>29</v>
      </c>
      <c r="G39" s="3">
        <v>22.1</v>
      </c>
      <c r="H39" s="3">
        <v>19.9</v>
      </c>
      <c r="I39" s="3">
        <v>16.4</v>
      </c>
      <c r="J39" s="3">
        <v>29.6</v>
      </c>
      <c r="K39" s="3">
        <v>22.1</v>
      </c>
      <c r="L39" s="3">
        <v>25.4</v>
      </c>
      <c r="M39" s="3">
        <v>25</v>
      </c>
      <c r="N39" s="3">
        <v>48.2</v>
      </c>
      <c r="O39" s="3">
        <v>35.6</v>
      </c>
      <c r="P39" s="3">
        <v>30.7</v>
      </c>
      <c r="Q39" s="3">
        <v>31.6</v>
      </c>
      <c r="R39" s="3">
        <v>31.9</v>
      </c>
      <c r="S39" s="3">
        <v>34.5</v>
      </c>
      <c r="T39" s="3">
        <v>37.3</v>
      </c>
      <c r="U39" s="3">
        <v>36.3</v>
      </c>
      <c r="V39" s="3">
        <v>40.8</v>
      </c>
      <c r="W39" s="3">
        <v>33.7</v>
      </c>
      <c r="X39" s="3">
        <v>35</v>
      </c>
      <c r="Y39" s="3">
        <v>32.599999999999994</v>
      </c>
      <c r="Z39" s="3">
        <v>36.9</v>
      </c>
      <c r="AA39" s="3">
        <v>31.5</v>
      </c>
      <c r="AB39" s="3">
        <v>33.8</v>
      </c>
      <c r="AC39" s="3">
        <v>33.60000000000001</v>
      </c>
      <c r="AD39" s="3">
        <v>38.7</v>
      </c>
      <c r="AG39" s="87">
        <f t="shared" si="13"/>
        <v>137.60000000000002</v>
      </c>
      <c r="AH39" s="87"/>
      <c r="AI39" s="87">
        <f t="shared" si="14"/>
        <v>0</v>
      </c>
    </row>
    <row r="40" spans="3:35" s="25" customFormat="1" ht="12.75" hidden="1">
      <c r="C40" s="268">
        <v>222.3</v>
      </c>
      <c r="D40" s="268">
        <v>233.30000000000004</v>
      </c>
      <c r="E40" s="268">
        <v>230.70000000000002</v>
      </c>
      <c r="F40" s="268">
        <v>212.49999999999997</v>
      </c>
      <c r="G40" s="268">
        <v>206.7</v>
      </c>
      <c r="H40" s="268">
        <v>215.8</v>
      </c>
      <c r="I40" s="268">
        <v>228.29999999999998</v>
      </c>
      <c r="J40" s="268">
        <v>238.9</v>
      </c>
      <c r="K40" s="268">
        <v>234.00000000000003</v>
      </c>
      <c r="L40" s="268">
        <v>249.9</v>
      </c>
      <c r="M40" s="268">
        <v>253</v>
      </c>
      <c r="N40" s="268">
        <v>227.5</v>
      </c>
      <c r="O40" s="268">
        <v>228.50000000000003</v>
      </c>
      <c r="P40" s="268">
        <v>246.90000000000003</v>
      </c>
      <c r="Q40" s="268">
        <v>255.6</v>
      </c>
      <c r="R40" s="268">
        <v>256.3</v>
      </c>
      <c r="S40" s="268">
        <v>251.39999999999998</v>
      </c>
      <c r="T40" s="268">
        <v>258.4</v>
      </c>
      <c r="U40" s="268">
        <v>261.4</v>
      </c>
      <c r="V40" s="268">
        <v>250</v>
      </c>
      <c r="W40" s="268">
        <v>247</v>
      </c>
      <c r="X40" s="268">
        <v>250.39999999999998</v>
      </c>
      <c r="Y40" s="268">
        <v>251.19999999999996</v>
      </c>
      <c r="Z40" s="268">
        <v>255.70000000000002</v>
      </c>
      <c r="AA40" s="268">
        <v>239.8</v>
      </c>
      <c r="AB40" s="268">
        <v>249.59999999999997</v>
      </c>
      <c r="AC40" s="268">
        <v>233.7</v>
      </c>
      <c r="AD40" s="268">
        <v>253.5</v>
      </c>
      <c r="AG40" s="87">
        <f t="shared" si="13"/>
        <v>976.5999999999999</v>
      </c>
      <c r="AH40" s="87"/>
      <c r="AI40" s="87">
        <f t="shared" si="14"/>
        <v>0</v>
      </c>
    </row>
    <row r="41" spans="3:35" s="25" customFormat="1" ht="12.75" hidden="1">
      <c r="C41" s="268">
        <f>C10</f>
        <v>223.3</v>
      </c>
      <c r="D41" s="268">
        <f aca="true" t="shared" si="18" ref="D41:AD41">D10</f>
        <v>234.30000000000004</v>
      </c>
      <c r="E41" s="268">
        <f t="shared" si="18"/>
        <v>231.70000000000002</v>
      </c>
      <c r="F41" s="268">
        <f t="shared" si="18"/>
        <v>213.49999999999997</v>
      </c>
      <c r="G41" s="268">
        <f t="shared" si="18"/>
        <v>207.89999999999998</v>
      </c>
      <c r="H41" s="268">
        <f t="shared" si="18"/>
        <v>217.00000000000003</v>
      </c>
      <c r="I41" s="268">
        <f t="shared" si="18"/>
        <v>229.5</v>
      </c>
      <c r="J41" s="268">
        <f t="shared" si="18"/>
        <v>240.1</v>
      </c>
      <c r="K41" s="268">
        <f t="shared" si="18"/>
        <v>238.10000000000002</v>
      </c>
      <c r="L41" s="268">
        <f t="shared" si="18"/>
        <v>254</v>
      </c>
      <c r="M41" s="268">
        <f t="shared" si="18"/>
        <v>257.1</v>
      </c>
      <c r="N41" s="268">
        <f t="shared" si="18"/>
        <v>231.6</v>
      </c>
      <c r="O41" s="268">
        <f t="shared" si="18"/>
        <v>232.40000000000003</v>
      </c>
      <c r="P41" s="268">
        <f t="shared" si="18"/>
        <v>250.8</v>
      </c>
      <c r="Q41" s="268">
        <f t="shared" si="18"/>
        <v>259.5</v>
      </c>
      <c r="R41" s="268">
        <f t="shared" si="18"/>
        <v>260.2</v>
      </c>
      <c r="S41" s="268">
        <f t="shared" si="18"/>
        <v>260.5</v>
      </c>
      <c r="T41" s="268">
        <f t="shared" si="18"/>
        <v>267.5</v>
      </c>
      <c r="U41" s="268">
        <f t="shared" si="18"/>
        <v>270.5</v>
      </c>
      <c r="V41" s="268">
        <f t="shared" si="18"/>
        <v>259.1</v>
      </c>
      <c r="W41" s="268">
        <f t="shared" si="18"/>
        <v>258</v>
      </c>
      <c r="X41" s="268">
        <f t="shared" si="18"/>
        <v>261.4</v>
      </c>
      <c r="Y41" s="268">
        <f t="shared" si="18"/>
        <v>262.19999999999993</v>
      </c>
      <c r="Z41" s="268">
        <f t="shared" si="18"/>
        <v>266.70000000000005</v>
      </c>
      <c r="AA41" s="268">
        <f t="shared" si="18"/>
        <v>251.1</v>
      </c>
      <c r="AB41" s="268">
        <f t="shared" si="18"/>
        <v>261</v>
      </c>
      <c r="AC41" s="268">
        <f t="shared" si="18"/>
        <v>245</v>
      </c>
      <c r="AD41" s="268">
        <f t="shared" si="18"/>
        <v>264.8</v>
      </c>
      <c r="AG41" s="87">
        <f t="shared" si="13"/>
        <v>1021.9000000000001</v>
      </c>
      <c r="AH41" s="87"/>
      <c r="AI41" s="87">
        <f t="shared" si="14"/>
        <v>0</v>
      </c>
    </row>
    <row r="42" spans="1:35" ht="12.75" hidden="1">
      <c r="A42" s="3"/>
      <c r="B42" s="3"/>
      <c r="C42" s="97">
        <f>C41-C40</f>
        <v>1</v>
      </c>
      <c r="D42" s="97">
        <f aca="true" t="shared" si="19" ref="D42:AD42">D41-D40</f>
        <v>1</v>
      </c>
      <c r="E42" s="97">
        <f t="shared" si="19"/>
        <v>1</v>
      </c>
      <c r="F42" s="97">
        <f t="shared" si="19"/>
        <v>1</v>
      </c>
      <c r="G42" s="97">
        <f t="shared" si="19"/>
        <v>1.1999999999999886</v>
      </c>
      <c r="H42" s="97">
        <f t="shared" si="19"/>
        <v>1.200000000000017</v>
      </c>
      <c r="I42" s="97">
        <f t="shared" si="19"/>
        <v>1.200000000000017</v>
      </c>
      <c r="J42" s="97">
        <f t="shared" si="19"/>
        <v>1.1999999999999886</v>
      </c>
      <c r="K42" s="97">
        <f t="shared" si="19"/>
        <v>4.099999999999994</v>
      </c>
      <c r="L42" s="97">
        <f t="shared" si="19"/>
        <v>4.099999999999994</v>
      </c>
      <c r="M42" s="97">
        <f t="shared" si="19"/>
        <v>4.100000000000023</v>
      </c>
      <c r="N42" s="97">
        <f t="shared" si="19"/>
        <v>4.099999999999994</v>
      </c>
      <c r="O42" s="97">
        <f t="shared" si="19"/>
        <v>3.9000000000000057</v>
      </c>
      <c r="P42" s="97">
        <f t="shared" si="19"/>
        <v>3.8999999999999773</v>
      </c>
      <c r="Q42" s="97">
        <f t="shared" si="19"/>
        <v>3.9000000000000057</v>
      </c>
      <c r="R42" s="97">
        <f t="shared" si="19"/>
        <v>3.8999999999999773</v>
      </c>
      <c r="S42" s="97">
        <f t="shared" si="19"/>
        <v>9.100000000000023</v>
      </c>
      <c r="T42" s="97">
        <f t="shared" si="19"/>
        <v>9.100000000000023</v>
      </c>
      <c r="U42" s="97">
        <f t="shared" si="19"/>
        <v>9.100000000000023</v>
      </c>
      <c r="V42" s="97">
        <f t="shared" si="19"/>
        <v>9.100000000000023</v>
      </c>
      <c r="W42" s="97">
        <f t="shared" si="19"/>
        <v>11</v>
      </c>
      <c r="X42" s="97">
        <f t="shared" si="19"/>
        <v>11</v>
      </c>
      <c r="Y42" s="97">
        <f t="shared" si="19"/>
        <v>10.999999999999972</v>
      </c>
      <c r="Z42" s="97">
        <f t="shared" si="19"/>
        <v>11.000000000000028</v>
      </c>
      <c r="AA42" s="97">
        <f t="shared" si="19"/>
        <v>11.299999999999983</v>
      </c>
      <c r="AB42" s="97">
        <f t="shared" si="19"/>
        <v>11.400000000000034</v>
      </c>
      <c r="AC42" s="97">
        <f t="shared" si="19"/>
        <v>11.300000000000011</v>
      </c>
      <c r="AD42" s="97">
        <f t="shared" si="19"/>
        <v>11.300000000000011</v>
      </c>
      <c r="AG42" s="87">
        <f t="shared" si="13"/>
        <v>45.30000000000004</v>
      </c>
      <c r="AH42" s="87"/>
      <c r="AI42" s="87">
        <f t="shared" si="14"/>
        <v>0</v>
      </c>
    </row>
    <row r="43" spans="1:35" ht="12.75" hidden="1">
      <c r="A43" s="3"/>
      <c r="B43" s="3"/>
      <c r="AG43" s="87">
        <f t="shared" si="13"/>
        <v>0</v>
      </c>
      <c r="AH43" s="87"/>
      <c r="AI43" s="87">
        <f t="shared" si="14"/>
        <v>0</v>
      </c>
    </row>
    <row r="44" spans="1:35" ht="12.75" hidden="1">
      <c r="A44" s="3" t="s">
        <v>191</v>
      </c>
      <c r="B44" s="3" t="s">
        <v>59</v>
      </c>
      <c r="C44" s="268">
        <v>223.3</v>
      </c>
      <c r="D44" s="268">
        <v>234.30000000000004</v>
      </c>
      <c r="E44" s="268">
        <v>231.69999999999996</v>
      </c>
      <c r="F44" s="268">
        <v>213.49999999999997</v>
      </c>
      <c r="G44" s="268">
        <v>207.89999999999995</v>
      </c>
      <c r="H44" s="268">
        <v>217.00000000000003</v>
      </c>
      <c r="I44" s="268">
        <v>229.5</v>
      </c>
      <c r="J44" s="268">
        <v>240.09999999999994</v>
      </c>
      <c r="K44" s="268">
        <v>238.09999999999997</v>
      </c>
      <c r="L44" s="268">
        <v>254.00000000000006</v>
      </c>
      <c r="M44" s="268">
        <v>257.1</v>
      </c>
      <c r="N44" s="268">
        <v>231.6</v>
      </c>
      <c r="O44" s="268">
        <v>232.40000000000003</v>
      </c>
      <c r="P44" s="268">
        <v>250.79999999999995</v>
      </c>
      <c r="Q44" s="268">
        <v>259.5</v>
      </c>
      <c r="R44" s="268">
        <v>260.2</v>
      </c>
      <c r="S44" s="268">
        <v>260.51000000000005</v>
      </c>
      <c r="T44" s="268">
        <v>267.49999999999994</v>
      </c>
      <c r="U44" s="268">
        <v>270.49999999999994</v>
      </c>
      <c r="V44" s="268">
        <v>259.09999999999997</v>
      </c>
      <c r="W44" s="268">
        <v>258</v>
      </c>
      <c r="X44" s="268">
        <v>261.40000000000003</v>
      </c>
      <c r="Y44" s="268">
        <v>262.20000000000005</v>
      </c>
      <c r="Z44" s="268">
        <v>266.70000000000005</v>
      </c>
      <c r="AA44" s="268">
        <v>251.10000000000002</v>
      </c>
      <c r="AB44" s="268">
        <v>261.00000000000006</v>
      </c>
      <c r="AC44" s="268">
        <v>245</v>
      </c>
      <c r="AD44" s="268">
        <v>264.8</v>
      </c>
      <c r="AG44" s="87">
        <f t="shared" si="13"/>
        <v>1021.9000000000001</v>
      </c>
      <c r="AH44" s="87"/>
      <c r="AI44" s="87">
        <f t="shared" si="14"/>
        <v>0</v>
      </c>
    </row>
    <row r="45" spans="1:35" ht="12.75" hidden="1">
      <c r="A45" s="3"/>
      <c r="B45" s="3"/>
      <c r="C45" s="97">
        <f>C44-C10</f>
        <v>0</v>
      </c>
      <c r="D45" s="97">
        <f aca="true" t="shared" si="20" ref="D45:AD45">D44-D10</f>
        <v>0</v>
      </c>
      <c r="E45" s="97">
        <f t="shared" si="20"/>
        <v>0</v>
      </c>
      <c r="F45" s="97">
        <f t="shared" si="20"/>
        <v>0</v>
      </c>
      <c r="G45" s="97">
        <f t="shared" si="20"/>
        <v>0</v>
      </c>
      <c r="H45" s="97">
        <f t="shared" si="20"/>
        <v>0</v>
      </c>
      <c r="I45" s="97">
        <f t="shared" si="20"/>
        <v>0</v>
      </c>
      <c r="J45" s="97">
        <f t="shared" si="20"/>
        <v>0</v>
      </c>
      <c r="K45" s="97">
        <f t="shared" si="20"/>
        <v>0</v>
      </c>
      <c r="L45" s="97">
        <f t="shared" si="20"/>
        <v>0</v>
      </c>
      <c r="M45" s="97">
        <f t="shared" si="20"/>
        <v>0</v>
      </c>
      <c r="N45" s="97">
        <f t="shared" si="20"/>
        <v>0</v>
      </c>
      <c r="O45" s="97">
        <f t="shared" si="20"/>
        <v>0</v>
      </c>
      <c r="P45" s="97">
        <f t="shared" si="20"/>
        <v>0</v>
      </c>
      <c r="Q45" s="97">
        <f t="shared" si="20"/>
        <v>0</v>
      </c>
      <c r="R45" s="97">
        <f t="shared" si="20"/>
        <v>0</v>
      </c>
      <c r="S45" s="97">
        <f t="shared" si="20"/>
        <v>0.010000000000047748</v>
      </c>
      <c r="T45" s="97">
        <f t="shared" si="20"/>
        <v>0</v>
      </c>
      <c r="U45" s="97">
        <f t="shared" si="20"/>
        <v>0</v>
      </c>
      <c r="V45" s="97">
        <f t="shared" si="20"/>
        <v>0</v>
      </c>
      <c r="W45" s="97">
        <f t="shared" si="20"/>
        <v>0</v>
      </c>
      <c r="X45" s="97">
        <f t="shared" si="20"/>
        <v>0</v>
      </c>
      <c r="Y45" s="97">
        <f t="shared" si="20"/>
        <v>0</v>
      </c>
      <c r="Z45" s="97">
        <f t="shared" si="20"/>
        <v>0</v>
      </c>
      <c r="AA45" s="97">
        <f t="shared" si="20"/>
        <v>0</v>
      </c>
      <c r="AB45" s="97">
        <f t="shared" si="20"/>
        <v>0</v>
      </c>
      <c r="AC45" s="97">
        <f t="shared" si="20"/>
        <v>0</v>
      </c>
      <c r="AD45" s="97">
        <f t="shared" si="20"/>
        <v>0</v>
      </c>
      <c r="AG45" s="87">
        <f t="shared" si="13"/>
        <v>0</v>
      </c>
      <c r="AH45" s="87"/>
      <c r="AI45" s="87">
        <f t="shared" si="14"/>
        <v>0</v>
      </c>
    </row>
    <row r="46" spans="1:35" ht="12.75" hidden="1">
      <c r="A46" s="3"/>
      <c r="B46" s="3"/>
      <c r="C46" s="3">
        <v>15.7</v>
      </c>
      <c r="D46" s="3">
        <v>14.2</v>
      </c>
      <c r="E46" s="3">
        <v>20.1</v>
      </c>
      <c r="F46" s="3">
        <v>28</v>
      </c>
      <c r="G46" s="3">
        <v>20.900000000000002</v>
      </c>
      <c r="H46" s="3">
        <v>18.7</v>
      </c>
      <c r="I46" s="3">
        <v>15.2</v>
      </c>
      <c r="J46" s="3">
        <v>28.400000000000002</v>
      </c>
      <c r="K46" s="3">
        <v>18</v>
      </c>
      <c r="L46" s="3">
        <v>21.299999999999997</v>
      </c>
      <c r="M46" s="3">
        <v>20.9</v>
      </c>
      <c r="N46" s="3">
        <v>44.1</v>
      </c>
      <c r="O46" s="3">
        <v>31.700000000000003</v>
      </c>
      <c r="P46" s="3">
        <v>26.8</v>
      </c>
      <c r="Q46" s="3">
        <v>27.700000000000003</v>
      </c>
      <c r="R46" s="3">
        <v>28</v>
      </c>
      <c r="S46" s="3">
        <v>25.39</v>
      </c>
      <c r="T46" s="3">
        <v>28.199999999999996</v>
      </c>
      <c r="U46" s="3">
        <v>27.199999999999996</v>
      </c>
      <c r="V46" s="3">
        <v>31.699999999999996</v>
      </c>
      <c r="W46" s="3">
        <v>22.700000000000003</v>
      </c>
      <c r="X46" s="3">
        <v>24</v>
      </c>
      <c r="Y46" s="3">
        <v>21.6</v>
      </c>
      <c r="Z46" s="3">
        <v>25.9</v>
      </c>
      <c r="AA46" s="3">
        <v>20.2</v>
      </c>
      <c r="AB46" s="3">
        <v>22.4</v>
      </c>
      <c r="AC46" s="3">
        <v>22.3</v>
      </c>
      <c r="AD46" s="3">
        <v>27.400000000000002</v>
      </c>
      <c r="AG46" s="87">
        <f t="shared" si="13"/>
        <v>92.3</v>
      </c>
      <c r="AH46" s="87"/>
      <c r="AI46" s="87">
        <f t="shared" si="14"/>
        <v>0</v>
      </c>
    </row>
    <row r="47" spans="1:35" ht="12.75" hidden="1">
      <c r="A47" s="3"/>
      <c r="B47" s="3"/>
      <c r="C47" s="97">
        <f>C46-C9</f>
        <v>0</v>
      </c>
      <c r="D47" s="97">
        <f aca="true" t="shared" si="21" ref="D47:AD47">D46-D9</f>
        <v>0</v>
      </c>
      <c r="E47" s="97">
        <f t="shared" si="21"/>
        <v>0</v>
      </c>
      <c r="F47" s="97">
        <f t="shared" si="21"/>
        <v>0</v>
      </c>
      <c r="G47" s="97">
        <f t="shared" si="21"/>
        <v>0</v>
      </c>
      <c r="H47" s="97">
        <f t="shared" si="21"/>
        <v>0</v>
      </c>
      <c r="I47" s="97">
        <f t="shared" si="21"/>
        <v>0</v>
      </c>
      <c r="J47" s="97">
        <f t="shared" si="21"/>
        <v>0</v>
      </c>
      <c r="K47" s="97">
        <f t="shared" si="21"/>
        <v>0</v>
      </c>
      <c r="L47" s="97">
        <f t="shared" si="21"/>
        <v>0</v>
      </c>
      <c r="M47" s="97">
        <f t="shared" si="21"/>
        <v>0</v>
      </c>
      <c r="N47" s="97">
        <f t="shared" si="21"/>
        <v>0</v>
      </c>
      <c r="O47" s="97">
        <f t="shared" si="21"/>
        <v>0</v>
      </c>
      <c r="P47" s="97">
        <f t="shared" si="21"/>
        <v>0</v>
      </c>
      <c r="Q47" s="97">
        <f t="shared" si="21"/>
        <v>0</v>
      </c>
      <c r="R47" s="97">
        <f t="shared" si="21"/>
        <v>0</v>
      </c>
      <c r="S47" s="97">
        <f t="shared" si="21"/>
        <v>-0.00999999999999801</v>
      </c>
      <c r="T47" s="97">
        <f t="shared" si="21"/>
        <v>0</v>
      </c>
      <c r="U47" s="97">
        <f t="shared" si="21"/>
        <v>0</v>
      </c>
      <c r="V47" s="97">
        <f t="shared" si="21"/>
        <v>0</v>
      </c>
      <c r="W47" s="97">
        <f t="shared" si="21"/>
        <v>0</v>
      </c>
      <c r="X47" s="97">
        <f t="shared" si="21"/>
        <v>0</v>
      </c>
      <c r="Y47" s="97">
        <f t="shared" si="21"/>
        <v>0</v>
      </c>
      <c r="Z47" s="97">
        <f t="shared" si="21"/>
        <v>0</v>
      </c>
      <c r="AA47" s="97">
        <f t="shared" si="21"/>
        <v>0.3000000000000007</v>
      </c>
      <c r="AB47" s="97">
        <f t="shared" si="21"/>
        <v>0.1999999999999993</v>
      </c>
      <c r="AC47" s="97">
        <f t="shared" si="21"/>
        <v>0.3000000000000007</v>
      </c>
      <c r="AD47" s="97">
        <f t="shared" si="21"/>
        <v>0.5</v>
      </c>
      <c r="AG47" s="87">
        <f t="shared" si="13"/>
        <v>1.3000000000000007</v>
      </c>
      <c r="AH47" s="87"/>
      <c r="AI47" s="87">
        <f t="shared" si="14"/>
        <v>0</v>
      </c>
    </row>
    <row r="48" spans="1:35" ht="12.75" hidden="1">
      <c r="A48" s="3"/>
      <c r="B48" s="3"/>
      <c r="AG48" s="87">
        <f t="shared" si="13"/>
        <v>0</v>
      </c>
      <c r="AH48" s="87"/>
      <c r="AI48" s="87">
        <f t="shared" si="14"/>
        <v>0</v>
      </c>
    </row>
    <row r="49" spans="1:35" ht="12.75" hidden="1">
      <c r="A49" s="3"/>
      <c r="B49" s="3"/>
      <c r="AG49" s="87">
        <f t="shared" si="13"/>
        <v>0</v>
      </c>
      <c r="AH49" s="87"/>
      <c r="AI49" s="87">
        <f t="shared" si="14"/>
        <v>0</v>
      </c>
    </row>
    <row r="50" spans="1:35" ht="12.75" hidden="1">
      <c r="A50" s="3"/>
      <c r="B50" s="25" t="s">
        <v>4</v>
      </c>
      <c r="C50" s="25">
        <v>16.7</v>
      </c>
      <c r="D50" s="25">
        <v>15.2</v>
      </c>
      <c r="E50" s="25">
        <v>21.1</v>
      </c>
      <c r="F50" s="25">
        <v>29</v>
      </c>
      <c r="G50" s="25">
        <v>22.1</v>
      </c>
      <c r="H50" s="25">
        <v>19.9</v>
      </c>
      <c r="I50" s="25">
        <v>16.4</v>
      </c>
      <c r="J50" s="25">
        <v>29.6</v>
      </c>
      <c r="K50" s="25">
        <v>22.1</v>
      </c>
      <c r="L50" s="25">
        <v>25.4</v>
      </c>
      <c r="M50" s="25">
        <v>25</v>
      </c>
      <c r="N50" s="25">
        <v>48.2</v>
      </c>
      <c r="O50" s="25">
        <v>35.6</v>
      </c>
      <c r="P50" s="25">
        <v>30.7</v>
      </c>
      <c r="Q50" s="25">
        <v>31.6</v>
      </c>
      <c r="R50" s="25">
        <v>31.9</v>
      </c>
      <c r="S50" s="25">
        <v>34.5</v>
      </c>
      <c r="T50" s="25">
        <v>37.3</v>
      </c>
      <c r="U50" s="25">
        <v>36.3</v>
      </c>
      <c r="V50" s="25">
        <v>40.8</v>
      </c>
      <c r="W50" s="25">
        <v>33.7</v>
      </c>
      <c r="X50" s="25">
        <v>35</v>
      </c>
      <c r="Y50" s="25">
        <v>32.599999999999994</v>
      </c>
      <c r="Z50" s="25">
        <v>36.9</v>
      </c>
      <c r="AA50" s="25">
        <v>31.5</v>
      </c>
      <c r="AB50" s="25">
        <v>33.8</v>
      </c>
      <c r="AC50" s="25">
        <v>33.60000000000001</v>
      </c>
      <c r="AD50" s="25">
        <v>38.7</v>
      </c>
      <c r="AG50" s="87">
        <f t="shared" si="13"/>
        <v>137.60000000000002</v>
      </c>
      <c r="AH50" s="87"/>
      <c r="AI50" s="87">
        <f t="shared" si="14"/>
        <v>0</v>
      </c>
    </row>
    <row r="51" spans="1:35" ht="12.75" hidden="1">
      <c r="A51" s="3"/>
      <c r="B51" s="25"/>
      <c r="C51" s="268">
        <f>C50-C9</f>
        <v>1</v>
      </c>
      <c r="D51" s="268">
        <f aca="true" t="shared" si="22" ref="D51:AC51">D50-D9</f>
        <v>1</v>
      </c>
      <c r="E51" s="268">
        <f t="shared" si="22"/>
        <v>1</v>
      </c>
      <c r="F51" s="268">
        <f t="shared" si="22"/>
        <v>1</v>
      </c>
      <c r="G51" s="268">
        <f t="shared" si="22"/>
        <v>1.1999999999999993</v>
      </c>
      <c r="H51" s="268">
        <f t="shared" si="22"/>
        <v>1.1999999999999993</v>
      </c>
      <c r="I51" s="268">
        <f t="shared" si="22"/>
        <v>1.1999999999999993</v>
      </c>
      <c r="J51" s="268">
        <f t="shared" si="22"/>
        <v>1.1999999999999993</v>
      </c>
      <c r="K51" s="268">
        <f t="shared" si="22"/>
        <v>4.100000000000001</v>
      </c>
      <c r="L51" s="268">
        <f t="shared" si="22"/>
        <v>4.100000000000001</v>
      </c>
      <c r="M51" s="268">
        <f t="shared" si="22"/>
        <v>4.100000000000001</v>
      </c>
      <c r="N51" s="268">
        <f t="shared" si="22"/>
        <v>4.100000000000001</v>
      </c>
      <c r="O51" s="268">
        <f t="shared" si="22"/>
        <v>3.8999999999999986</v>
      </c>
      <c r="P51" s="268">
        <f t="shared" si="22"/>
        <v>3.8999999999999986</v>
      </c>
      <c r="Q51" s="268">
        <f t="shared" si="22"/>
        <v>3.8999999999999986</v>
      </c>
      <c r="R51" s="268">
        <f t="shared" si="22"/>
        <v>3.8999999999999986</v>
      </c>
      <c r="S51" s="268">
        <f t="shared" si="22"/>
        <v>9.100000000000001</v>
      </c>
      <c r="T51" s="268">
        <f t="shared" si="22"/>
        <v>9.100000000000001</v>
      </c>
      <c r="U51" s="268">
        <f t="shared" si="22"/>
        <v>9.100000000000001</v>
      </c>
      <c r="V51" s="268">
        <f t="shared" si="22"/>
        <v>9.100000000000001</v>
      </c>
      <c r="W51" s="268">
        <f t="shared" si="22"/>
        <v>11</v>
      </c>
      <c r="X51" s="268">
        <f t="shared" si="22"/>
        <v>11</v>
      </c>
      <c r="Y51" s="268">
        <f t="shared" si="22"/>
        <v>10.999999999999993</v>
      </c>
      <c r="Z51" s="268">
        <f t="shared" si="22"/>
        <v>11</v>
      </c>
      <c r="AA51" s="268">
        <f t="shared" si="22"/>
        <v>11.600000000000001</v>
      </c>
      <c r="AB51" s="268">
        <f t="shared" si="22"/>
        <v>11.599999999999998</v>
      </c>
      <c r="AC51" s="268">
        <f t="shared" si="22"/>
        <v>11.600000000000009</v>
      </c>
      <c r="AD51" s="268">
        <f>AD50-AD9</f>
        <v>11.8</v>
      </c>
      <c r="AG51" s="87">
        <f t="shared" si="13"/>
        <v>46.60000000000001</v>
      </c>
      <c r="AH51" s="87"/>
      <c r="AI51" s="87">
        <f t="shared" si="14"/>
        <v>0</v>
      </c>
    </row>
    <row r="52" spans="1:35" ht="12.75" hidden="1">
      <c r="A52" s="3"/>
      <c r="B52" s="25" t="s">
        <v>5</v>
      </c>
      <c r="C52" s="25">
        <v>222.3</v>
      </c>
      <c r="D52" s="25">
        <v>233.30000000000004</v>
      </c>
      <c r="E52" s="25">
        <v>230.70000000000002</v>
      </c>
      <c r="F52" s="25">
        <v>212.49999999999997</v>
      </c>
      <c r="G52" s="25">
        <v>206.7</v>
      </c>
      <c r="H52" s="25">
        <v>215.8</v>
      </c>
      <c r="I52" s="25">
        <v>228.29999999999998</v>
      </c>
      <c r="J52" s="25">
        <v>238.9</v>
      </c>
      <c r="K52" s="25">
        <v>234.00000000000003</v>
      </c>
      <c r="L52" s="25">
        <v>249.9</v>
      </c>
      <c r="M52" s="25">
        <v>253</v>
      </c>
      <c r="N52" s="25">
        <v>227.5</v>
      </c>
      <c r="O52" s="25">
        <v>228.50000000000003</v>
      </c>
      <c r="P52" s="25">
        <v>246.90000000000003</v>
      </c>
      <c r="Q52" s="25">
        <v>255.6</v>
      </c>
      <c r="R52" s="25">
        <v>256.3</v>
      </c>
      <c r="S52" s="25">
        <v>251.39999999999998</v>
      </c>
      <c r="T52" s="25">
        <v>258.4</v>
      </c>
      <c r="U52" s="25">
        <v>261.4</v>
      </c>
      <c r="V52" s="25">
        <v>250</v>
      </c>
      <c r="W52" s="25">
        <v>247</v>
      </c>
      <c r="X52" s="25">
        <v>250.39999999999998</v>
      </c>
      <c r="Y52" s="25">
        <v>251.19999999999996</v>
      </c>
      <c r="Z52" s="25">
        <v>255.70000000000002</v>
      </c>
      <c r="AA52" s="25">
        <v>239.8</v>
      </c>
      <c r="AB52" s="25">
        <v>249.59999999999997</v>
      </c>
      <c r="AC52" s="25">
        <v>233.7</v>
      </c>
      <c r="AD52" s="25">
        <v>253.5</v>
      </c>
      <c r="AG52" s="87">
        <f t="shared" si="13"/>
        <v>976.5999999999999</v>
      </c>
      <c r="AH52" s="87"/>
      <c r="AI52" s="87">
        <f t="shared" si="14"/>
        <v>0</v>
      </c>
    </row>
    <row r="53" spans="1:35" ht="12.75" hidden="1">
      <c r="A53" s="3"/>
      <c r="B53" s="25"/>
      <c r="C53" s="268">
        <f>C52-C10</f>
        <v>-1</v>
      </c>
      <c r="D53" s="268">
        <f aca="true" t="shared" si="23" ref="D53:AD53">D52-D10</f>
        <v>-1</v>
      </c>
      <c r="E53" s="268">
        <f t="shared" si="23"/>
        <v>-1</v>
      </c>
      <c r="F53" s="268">
        <f t="shared" si="23"/>
        <v>-1</v>
      </c>
      <c r="G53" s="268">
        <f t="shared" si="23"/>
        <v>-1.1999999999999886</v>
      </c>
      <c r="H53" s="268">
        <f t="shared" si="23"/>
        <v>-1.200000000000017</v>
      </c>
      <c r="I53" s="268">
        <f t="shared" si="23"/>
        <v>-1.200000000000017</v>
      </c>
      <c r="J53" s="268">
        <f t="shared" si="23"/>
        <v>-1.1999999999999886</v>
      </c>
      <c r="K53" s="268">
        <f t="shared" si="23"/>
        <v>-4.099999999999994</v>
      </c>
      <c r="L53" s="268">
        <f t="shared" si="23"/>
        <v>-4.099999999999994</v>
      </c>
      <c r="M53" s="268">
        <f t="shared" si="23"/>
        <v>-4.100000000000023</v>
      </c>
      <c r="N53" s="268">
        <f t="shared" si="23"/>
        <v>-4.099999999999994</v>
      </c>
      <c r="O53" s="268">
        <f t="shared" si="23"/>
        <v>-3.9000000000000057</v>
      </c>
      <c r="P53" s="268">
        <f t="shared" si="23"/>
        <v>-3.8999999999999773</v>
      </c>
      <c r="Q53" s="268">
        <f t="shared" si="23"/>
        <v>-3.9000000000000057</v>
      </c>
      <c r="R53" s="268">
        <f t="shared" si="23"/>
        <v>-3.8999999999999773</v>
      </c>
      <c r="S53" s="268">
        <f t="shared" si="23"/>
        <v>-9.100000000000023</v>
      </c>
      <c r="T53" s="268">
        <f t="shared" si="23"/>
        <v>-9.100000000000023</v>
      </c>
      <c r="U53" s="268">
        <f t="shared" si="23"/>
        <v>-9.100000000000023</v>
      </c>
      <c r="V53" s="268">
        <f t="shared" si="23"/>
        <v>-9.100000000000023</v>
      </c>
      <c r="W53" s="268">
        <f t="shared" si="23"/>
        <v>-11</v>
      </c>
      <c r="X53" s="268">
        <f t="shared" si="23"/>
        <v>-11</v>
      </c>
      <c r="Y53" s="268">
        <f t="shared" si="23"/>
        <v>-10.999999999999972</v>
      </c>
      <c r="Z53" s="268">
        <f t="shared" si="23"/>
        <v>-11.000000000000028</v>
      </c>
      <c r="AA53" s="268">
        <f t="shared" si="23"/>
        <v>-11.299999999999983</v>
      </c>
      <c r="AB53" s="268">
        <f t="shared" si="23"/>
        <v>-11.400000000000034</v>
      </c>
      <c r="AC53" s="268">
        <f t="shared" si="23"/>
        <v>-11.300000000000011</v>
      </c>
      <c r="AD53" s="268">
        <f t="shared" si="23"/>
        <v>-11.300000000000011</v>
      </c>
      <c r="AG53" s="87">
        <f t="shared" si="13"/>
        <v>-45.30000000000004</v>
      </c>
      <c r="AH53" s="87"/>
      <c r="AI53" s="87">
        <f t="shared" si="14"/>
        <v>0</v>
      </c>
    </row>
    <row r="54" spans="1:35" ht="12.75" hidden="1">
      <c r="A54" s="3"/>
      <c r="B54" s="25" t="s">
        <v>6</v>
      </c>
      <c r="C54" s="25">
        <v>525.8000000000001</v>
      </c>
      <c r="D54" s="25">
        <v>510.3000000000002</v>
      </c>
      <c r="E54" s="25">
        <v>531.6999999999999</v>
      </c>
      <c r="F54" s="25">
        <v>461.49999999999994</v>
      </c>
      <c r="G54" s="25">
        <v>569.9</v>
      </c>
      <c r="H54" s="25">
        <v>610.2999999999998</v>
      </c>
      <c r="I54" s="25">
        <v>606</v>
      </c>
      <c r="J54" s="25">
        <v>293.29999999999995</v>
      </c>
      <c r="K54" s="25">
        <v>547.1999999999998</v>
      </c>
      <c r="L54" s="25">
        <v>669.5</v>
      </c>
      <c r="M54" s="25">
        <v>693.8999999999999</v>
      </c>
      <c r="N54" s="25">
        <v>569.4999999999999</v>
      </c>
      <c r="O54" s="25">
        <v>650.8</v>
      </c>
      <c r="P54" s="25">
        <v>667.7</v>
      </c>
      <c r="Q54" s="25">
        <v>689.5999999999999</v>
      </c>
      <c r="R54" s="25">
        <v>682.3</v>
      </c>
      <c r="S54" s="25">
        <v>722.8</v>
      </c>
      <c r="T54" s="25">
        <v>737.1999999999999</v>
      </c>
      <c r="U54" s="25">
        <v>717.5</v>
      </c>
      <c r="V54" s="25">
        <v>734.9000000000001</v>
      </c>
      <c r="W54" s="25">
        <v>839.0000000000001</v>
      </c>
      <c r="X54" s="25">
        <v>781.3</v>
      </c>
      <c r="Y54" s="25">
        <v>782.8999999999997</v>
      </c>
      <c r="Z54" s="25">
        <v>762.2</v>
      </c>
      <c r="AA54" s="25">
        <v>843.9</v>
      </c>
      <c r="AB54" s="25">
        <v>794.8999999999999</v>
      </c>
      <c r="AC54" s="25">
        <v>790.5000000000002</v>
      </c>
      <c r="AD54" s="25">
        <v>815.8000000000001</v>
      </c>
      <c r="AG54" s="87">
        <f t="shared" si="13"/>
        <v>3245.1000000000004</v>
      </c>
      <c r="AH54" s="87"/>
      <c r="AI54" s="87">
        <f t="shared" si="14"/>
        <v>0</v>
      </c>
    </row>
    <row r="55" spans="1:35" ht="12.75" hidden="1">
      <c r="A55" s="3"/>
      <c r="B55" s="25"/>
      <c r="C55" s="268">
        <f>C54-C15</f>
        <v>-1</v>
      </c>
      <c r="D55" s="268">
        <f aca="true" t="shared" si="24" ref="D55:AD55">D54-D15</f>
        <v>-1</v>
      </c>
      <c r="E55" s="268">
        <f t="shared" si="24"/>
        <v>-1</v>
      </c>
      <c r="F55" s="268">
        <f t="shared" si="24"/>
        <v>-1</v>
      </c>
      <c r="G55" s="268">
        <f t="shared" si="24"/>
        <v>-1.2000000000000455</v>
      </c>
      <c r="H55" s="268">
        <f t="shared" si="24"/>
        <v>-1.2000000000000455</v>
      </c>
      <c r="I55" s="268">
        <f t="shared" si="24"/>
        <v>-1.2000000000000455</v>
      </c>
      <c r="J55" s="268">
        <f t="shared" si="24"/>
        <v>-1.2000000000000455</v>
      </c>
      <c r="K55" s="268">
        <f t="shared" si="24"/>
        <v>-4.100000000000023</v>
      </c>
      <c r="L55" s="268">
        <f t="shared" si="24"/>
        <v>-4.100000000000023</v>
      </c>
      <c r="M55" s="268">
        <f t="shared" si="24"/>
        <v>-4.100000000000023</v>
      </c>
      <c r="N55" s="268">
        <f t="shared" si="24"/>
        <v>-4.100000000000023</v>
      </c>
      <c r="O55" s="268">
        <f t="shared" si="24"/>
        <v>-3.8999999999999773</v>
      </c>
      <c r="P55" s="268">
        <f t="shared" si="24"/>
        <v>-3.8999999999999773</v>
      </c>
      <c r="Q55" s="268">
        <f t="shared" si="24"/>
        <v>-3.8999999999999773</v>
      </c>
      <c r="R55" s="268">
        <f t="shared" si="24"/>
        <v>-3.8999999999999773</v>
      </c>
      <c r="S55" s="268">
        <f t="shared" si="24"/>
        <v>-9.100000000000136</v>
      </c>
      <c r="T55" s="268">
        <f t="shared" si="24"/>
        <v>-9.100000000000023</v>
      </c>
      <c r="U55" s="268">
        <f t="shared" si="24"/>
        <v>-9.100000000000023</v>
      </c>
      <c r="V55" s="268">
        <f t="shared" si="24"/>
        <v>-9.099999999999909</v>
      </c>
      <c r="W55" s="268">
        <f t="shared" si="24"/>
        <v>-11</v>
      </c>
      <c r="X55" s="268">
        <f t="shared" si="24"/>
        <v>-11</v>
      </c>
      <c r="Y55" s="268">
        <f t="shared" si="24"/>
        <v>-11</v>
      </c>
      <c r="Z55" s="268">
        <f t="shared" si="24"/>
        <v>-11</v>
      </c>
      <c r="AA55" s="268">
        <f t="shared" si="24"/>
        <v>-11.299999999999955</v>
      </c>
      <c r="AB55" s="268">
        <f t="shared" si="24"/>
        <v>-11.400000000000091</v>
      </c>
      <c r="AC55" s="268">
        <f t="shared" si="24"/>
        <v>-11.299999999999955</v>
      </c>
      <c r="AD55" s="268">
        <f t="shared" si="24"/>
        <v>-11.300000000000068</v>
      </c>
      <c r="AG55" s="87">
        <f t="shared" si="13"/>
        <v>-45.30000000000007</v>
      </c>
      <c r="AH55" s="87"/>
      <c r="AI55" s="87">
        <f t="shared" si="14"/>
        <v>0</v>
      </c>
    </row>
    <row r="56" spans="1:35" ht="12.75" hidden="1">
      <c r="A56" s="3"/>
      <c r="B56" s="25" t="s">
        <v>423</v>
      </c>
      <c r="C56" s="25">
        <v>335.09999999999997</v>
      </c>
      <c r="D56" s="25">
        <v>344</v>
      </c>
      <c r="E56" s="25">
        <v>355.9</v>
      </c>
      <c r="F56" s="25">
        <v>354.1</v>
      </c>
      <c r="G56" s="25">
        <v>366.5</v>
      </c>
      <c r="H56" s="25">
        <v>388.7</v>
      </c>
      <c r="I56" s="25">
        <v>406.5</v>
      </c>
      <c r="J56" s="25">
        <v>337.4</v>
      </c>
      <c r="K56" s="25">
        <v>362.7</v>
      </c>
      <c r="L56" s="25">
        <v>382.5</v>
      </c>
      <c r="M56" s="25">
        <v>393.2</v>
      </c>
      <c r="N56" s="25">
        <v>351.1</v>
      </c>
      <c r="O56" s="25">
        <v>390.5</v>
      </c>
      <c r="P56" s="25">
        <v>403.2</v>
      </c>
      <c r="Q56" s="25">
        <v>407.7</v>
      </c>
      <c r="R56" s="25">
        <v>392.5</v>
      </c>
      <c r="S56" s="25">
        <v>408.3</v>
      </c>
      <c r="T56" s="25">
        <v>422.70000000000005</v>
      </c>
      <c r="U56" s="25">
        <v>422</v>
      </c>
      <c r="V56" s="25">
        <v>410.6</v>
      </c>
      <c r="W56" s="25">
        <v>463.90000000000003</v>
      </c>
      <c r="X56" s="25">
        <v>454</v>
      </c>
      <c r="Y56" s="25">
        <v>455.2</v>
      </c>
      <c r="Z56" s="25">
        <v>449.1</v>
      </c>
      <c r="AA56" s="25">
        <v>470.9</v>
      </c>
      <c r="AB56" s="25">
        <v>465.6</v>
      </c>
      <c r="AC56" s="25">
        <v>447.5</v>
      </c>
      <c r="AD56" s="25">
        <v>439.1</v>
      </c>
      <c r="AG56" s="87">
        <f t="shared" si="13"/>
        <v>1823.1</v>
      </c>
      <c r="AH56" s="87"/>
      <c r="AI56" s="87">
        <f t="shared" si="14"/>
        <v>0</v>
      </c>
    </row>
    <row r="57" spans="1:35" ht="12.75" hidden="1">
      <c r="A57" s="3"/>
      <c r="B57" s="25"/>
      <c r="C57" s="268">
        <f>C56-C16</f>
        <v>-1.0000000000000568</v>
      </c>
      <c r="D57" s="268">
        <f aca="true" t="shared" si="25" ref="D57:AD57">D56-D16</f>
        <v>-1</v>
      </c>
      <c r="E57" s="268">
        <f t="shared" si="25"/>
        <v>-1</v>
      </c>
      <c r="F57" s="268">
        <f t="shared" si="25"/>
        <v>-1</v>
      </c>
      <c r="G57" s="268">
        <f t="shared" si="25"/>
        <v>-1.1999999999999318</v>
      </c>
      <c r="H57" s="268">
        <f t="shared" si="25"/>
        <v>-1.1999999999999886</v>
      </c>
      <c r="I57" s="268">
        <f t="shared" si="25"/>
        <v>-1.1999999999999886</v>
      </c>
      <c r="J57" s="268">
        <f t="shared" si="25"/>
        <v>-1.1999999999999886</v>
      </c>
      <c r="K57" s="268">
        <f t="shared" si="25"/>
        <v>-4.099999999999966</v>
      </c>
      <c r="L57" s="268">
        <f t="shared" si="25"/>
        <v>-4.100000000000023</v>
      </c>
      <c r="M57" s="268">
        <f t="shared" si="25"/>
        <v>-4.099999999999966</v>
      </c>
      <c r="N57" s="268">
        <f t="shared" si="25"/>
        <v>-4.099999999999966</v>
      </c>
      <c r="O57" s="268">
        <f t="shared" si="25"/>
        <v>-3.8999999999999773</v>
      </c>
      <c r="P57" s="268">
        <f t="shared" si="25"/>
        <v>-3.900000000000034</v>
      </c>
      <c r="Q57" s="268">
        <f t="shared" si="25"/>
        <v>-3.900000000000034</v>
      </c>
      <c r="R57" s="268">
        <f t="shared" si="25"/>
        <v>-3.8999999999999773</v>
      </c>
      <c r="S57" s="268">
        <f t="shared" si="25"/>
        <v>-9.099999999999966</v>
      </c>
      <c r="T57" s="268">
        <f t="shared" si="25"/>
        <v>-9.099999999999966</v>
      </c>
      <c r="U57" s="268">
        <f t="shared" si="25"/>
        <v>-9.100000000000023</v>
      </c>
      <c r="V57" s="268">
        <f t="shared" si="25"/>
        <v>-9.099999999999966</v>
      </c>
      <c r="W57" s="268">
        <f t="shared" si="25"/>
        <v>-11</v>
      </c>
      <c r="X57" s="268">
        <f t="shared" si="25"/>
        <v>-11</v>
      </c>
      <c r="Y57" s="268">
        <f t="shared" si="25"/>
        <v>-11</v>
      </c>
      <c r="Z57" s="268">
        <f t="shared" si="25"/>
        <v>-11</v>
      </c>
      <c r="AA57" s="268">
        <f t="shared" si="25"/>
        <v>-11.300000000000011</v>
      </c>
      <c r="AB57" s="268">
        <f t="shared" si="25"/>
        <v>-11.399999999999977</v>
      </c>
      <c r="AC57" s="268">
        <f t="shared" si="25"/>
        <v>-11.299999999999955</v>
      </c>
      <c r="AD57" s="268">
        <f t="shared" si="25"/>
        <v>-11.300000000000011</v>
      </c>
      <c r="AG57" s="87">
        <f t="shared" si="13"/>
        <v>-45.299999999999955</v>
      </c>
      <c r="AH57" s="87"/>
      <c r="AI57" s="87">
        <f t="shared" si="14"/>
        <v>0</v>
      </c>
    </row>
    <row r="58" spans="1:35" ht="12.75" hidden="1">
      <c r="A58" s="3"/>
      <c r="B58" s="25" t="s">
        <v>42</v>
      </c>
      <c r="C58" s="25">
        <v>154.6</v>
      </c>
      <c r="D58" s="25">
        <v>168.2</v>
      </c>
      <c r="E58" s="25">
        <v>174.5</v>
      </c>
      <c r="F58" s="25">
        <v>194.3</v>
      </c>
      <c r="G58" s="25">
        <v>180.1</v>
      </c>
      <c r="H58" s="25">
        <v>182.2</v>
      </c>
      <c r="I58" s="25">
        <v>208.5</v>
      </c>
      <c r="J58" s="25">
        <v>200.7</v>
      </c>
      <c r="K58" s="25">
        <v>153</v>
      </c>
      <c r="L58" s="25">
        <v>180.9</v>
      </c>
      <c r="M58" s="25">
        <v>178.7</v>
      </c>
      <c r="N58" s="25">
        <v>205.1</v>
      </c>
      <c r="O58" s="25">
        <v>178.6</v>
      </c>
      <c r="P58" s="25">
        <v>185.4</v>
      </c>
      <c r="Q58" s="25">
        <v>198.7</v>
      </c>
      <c r="R58" s="25">
        <v>248.4</v>
      </c>
      <c r="S58" s="25">
        <v>199.3</v>
      </c>
      <c r="T58" s="25">
        <v>208.9</v>
      </c>
      <c r="U58" s="25">
        <v>210.8</v>
      </c>
      <c r="V58" s="25">
        <v>214.3</v>
      </c>
      <c r="W58" s="25">
        <v>228</v>
      </c>
      <c r="X58" s="25">
        <v>213.1</v>
      </c>
      <c r="Y58" s="25">
        <v>219.1</v>
      </c>
      <c r="Z58" s="25">
        <v>240.6</v>
      </c>
      <c r="AA58" s="25">
        <v>226.7</v>
      </c>
      <c r="AB58" s="25">
        <v>226.3</v>
      </c>
      <c r="AC58" s="25">
        <v>230.1</v>
      </c>
      <c r="AD58" s="25">
        <v>243.5</v>
      </c>
      <c r="AG58" s="87">
        <f t="shared" si="13"/>
        <v>926.6</v>
      </c>
      <c r="AH58" s="87"/>
      <c r="AI58" s="87">
        <f t="shared" si="14"/>
        <v>0</v>
      </c>
    </row>
    <row r="59" spans="1:35" ht="12.75" hidden="1">
      <c r="A59" s="3"/>
      <c r="B59" s="25"/>
      <c r="C59" s="268">
        <f>C58-C17</f>
        <v>0</v>
      </c>
      <c r="D59" s="268">
        <f aca="true" t="shared" si="26" ref="D59:AD59">D58-D17</f>
        <v>0</v>
      </c>
      <c r="E59" s="268">
        <f t="shared" si="26"/>
        <v>0</v>
      </c>
      <c r="F59" s="268">
        <f t="shared" si="26"/>
        <v>0</v>
      </c>
      <c r="G59" s="268">
        <f t="shared" si="26"/>
        <v>0</v>
      </c>
      <c r="H59" s="268">
        <f t="shared" si="26"/>
        <v>0</v>
      </c>
      <c r="I59" s="268">
        <f t="shared" si="26"/>
        <v>0</v>
      </c>
      <c r="J59" s="268">
        <f t="shared" si="26"/>
        <v>0</v>
      </c>
      <c r="K59" s="268">
        <f t="shared" si="26"/>
        <v>0</v>
      </c>
      <c r="L59" s="268">
        <f t="shared" si="26"/>
        <v>0</v>
      </c>
      <c r="M59" s="268">
        <f t="shared" si="26"/>
        <v>0</v>
      </c>
      <c r="N59" s="268">
        <f t="shared" si="26"/>
        <v>0</v>
      </c>
      <c r="O59" s="268">
        <f t="shared" si="26"/>
        <v>0</v>
      </c>
      <c r="P59" s="268">
        <f t="shared" si="26"/>
        <v>0</v>
      </c>
      <c r="Q59" s="268">
        <f t="shared" si="26"/>
        <v>0</v>
      </c>
      <c r="R59" s="268">
        <f t="shared" si="26"/>
        <v>0</v>
      </c>
      <c r="S59" s="268">
        <f t="shared" si="26"/>
        <v>0</v>
      </c>
      <c r="T59" s="268">
        <f t="shared" si="26"/>
        <v>0</v>
      </c>
      <c r="U59" s="268">
        <f t="shared" si="26"/>
        <v>0</v>
      </c>
      <c r="V59" s="268">
        <f t="shared" si="26"/>
        <v>0</v>
      </c>
      <c r="W59" s="268">
        <f t="shared" si="26"/>
        <v>0</v>
      </c>
      <c r="X59" s="268">
        <f t="shared" si="26"/>
        <v>0</v>
      </c>
      <c r="Y59" s="268">
        <f t="shared" si="26"/>
        <v>0</v>
      </c>
      <c r="Z59" s="268">
        <f t="shared" si="26"/>
        <v>0</v>
      </c>
      <c r="AA59" s="268">
        <f t="shared" si="26"/>
        <v>0</v>
      </c>
      <c r="AB59" s="268">
        <f t="shared" si="26"/>
        <v>0</v>
      </c>
      <c r="AC59" s="268">
        <f t="shared" si="26"/>
        <v>0</v>
      </c>
      <c r="AD59" s="268">
        <f t="shared" si="26"/>
        <v>0</v>
      </c>
      <c r="AG59" s="87">
        <f t="shared" si="13"/>
        <v>0</v>
      </c>
      <c r="AH59" s="87"/>
      <c r="AI59" s="87">
        <f t="shared" si="14"/>
        <v>0</v>
      </c>
    </row>
    <row r="60" spans="1:35" ht="12.75" hidden="1">
      <c r="A60" s="3"/>
      <c r="B60" s="25" t="s">
        <v>43</v>
      </c>
      <c r="C60" s="25">
        <v>34.6</v>
      </c>
      <c r="D60" s="25">
        <v>36.2</v>
      </c>
      <c r="E60" s="25">
        <v>35</v>
      </c>
      <c r="F60" s="25">
        <v>49</v>
      </c>
      <c r="G60" s="25">
        <v>33.3</v>
      </c>
      <c r="H60" s="25">
        <v>33.6</v>
      </c>
      <c r="I60" s="25">
        <v>34.19999999999999</v>
      </c>
      <c r="J60" s="25">
        <v>32.7</v>
      </c>
      <c r="K60" s="25">
        <v>31</v>
      </c>
      <c r="L60" s="25">
        <v>32</v>
      </c>
      <c r="M60" s="25">
        <v>29.5</v>
      </c>
      <c r="N60" s="25">
        <v>31.4</v>
      </c>
      <c r="O60" s="25">
        <v>29.1</v>
      </c>
      <c r="P60" s="25">
        <v>29.5</v>
      </c>
      <c r="Q60" s="25">
        <v>30.1</v>
      </c>
      <c r="R60" s="25">
        <v>32.3</v>
      </c>
      <c r="S60" s="25">
        <v>30.5</v>
      </c>
      <c r="T60" s="25">
        <v>31.9</v>
      </c>
      <c r="U60" s="25">
        <v>34</v>
      </c>
      <c r="V60" s="25">
        <v>36.2</v>
      </c>
      <c r="W60" s="25">
        <v>33.6</v>
      </c>
      <c r="X60" s="25">
        <v>34.7</v>
      </c>
      <c r="Y60" s="25">
        <v>35.1</v>
      </c>
      <c r="Z60" s="25">
        <v>44.7</v>
      </c>
      <c r="AA60" s="25">
        <v>39.9</v>
      </c>
      <c r="AB60" s="25">
        <v>40.7</v>
      </c>
      <c r="AC60" s="25">
        <v>39.3</v>
      </c>
      <c r="AD60" s="25">
        <v>44.1</v>
      </c>
      <c r="AG60" s="87">
        <f t="shared" si="13"/>
        <v>164</v>
      </c>
      <c r="AH60" s="87"/>
      <c r="AI60" s="87">
        <f t="shared" si="14"/>
        <v>0</v>
      </c>
    </row>
    <row r="61" spans="1:35" ht="12.75" hidden="1">
      <c r="A61" s="3"/>
      <c r="B61" s="25"/>
      <c r="C61" s="268">
        <f>C60-C18</f>
        <v>0</v>
      </c>
      <c r="D61" s="268">
        <f aca="true" t="shared" si="27" ref="D61:AD61">D60-D18</f>
        <v>0</v>
      </c>
      <c r="E61" s="268">
        <f t="shared" si="27"/>
        <v>0</v>
      </c>
      <c r="F61" s="268">
        <f t="shared" si="27"/>
        <v>0</v>
      </c>
      <c r="G61" s="268">
        <f t="shared" si="27"/>
        <v>0</v>
      </c>
      <c r="H61" s="268">
        <f t="shared" si="27"/>
        <v>0</v>
      </c>
      <c r="I61" s="268">
        <f t="shared" si="27"/>
        <v>0</v>
      </c>
      <c r="J61" s="268">
        <f t="shared" si="27"/>
        <v>0</v>
      </c>
      <c r="K61" s="268">
        <f t="shared" si="27"/>
        <v>0</v>
      </c>
      <c r="L61" s="268">
        <f t="shared" si="27"/>
        <v>0</v>
      </c>
      <c r="M61" s="268">
        <f t="shared" si="27"/>
        <v>0</v>
      </c>
      <c r="N61" s="268">
        <f t="shared" si="27"/>
        <v>0</v>
      </c>
      <c r="O61" s="268">
        <f t="shared" si="27"/>
        <v>0</v>
      </c>
      <c r="P61" s="268">
        <f t="shared" si="27"/>
        <v>0</v>
      </c>
      <c r="Q61" s="268">
        <f t="shared" si="27"/>
        <v>0</v>
      </c>
      <c r="R61" s="268">
        <f t="shared" si="27"/>
        <v>0</v>
      </c>
      <c r="S61" s="268">
        <f t="shared" si="27"/>
        <v>0</v>
      </c>
      <c r="T61" s="268">
        <f t="shared" si="27"/>
        <v>0</v>
      </c>
      <c r="U61" s="268">
        <f t="shared" si="27"/>
        <v>0</v>
      </c>
      <c r="V61" s="268">
        <f t="shared" si="27"/>
        <v>0</v>
      </c>
      <c r="W61" s="268">
        <f t="shared" si="27"/>
        <v>0</v>
      </c>
      <c r="X61" s="268">
        <f t="shared" si="27"/>
        <v>0</v>
      </c>
      <c r="Y61" s="268">
        <f t="shared" si="27"/>
        <v>0</v>
      </c>
      <c r="Z61" s="268">
        <f t="shared" si="27"/>
        <v>0</v>
      </c>
      <c r="AA61" s="268">
        <f t="shared" si="27"/>
        <v>0</v>
      </c>
      <c r="AB61" s="268">
        <f t="shared" si="27"/>
        <v>0</v>
      </c>
      <c r="AC61" s="268">
        <f t="shared" si="27"/>
        <v>0</v>
      </c>
      <c r="AD61" s="268">
        <f t="shared" si="27"/>
        <v>0</v>
      </c>
      <c r="AG61" s="87">
        <f t="shared" si="13"/>
        <v>0</v>
      </c>
      <c r="AH61" s="87"/>
      <c r="AI61" s="87">
        <f t="shared" si="14"/>
        <v>0</v>
      </c>
    </row>
    <row r="62" spans="1:35" ht="12.75" hidden="1">
      <c r="A62" s="3"/>
      <c r="B62" s="25" t="s">
        <v>44</v>
      </c>
      <c r="C62" s="25">
        <v>145.89999999999998</v>
      </c>
      <c r="D62" s="25">
        <v>139.6</v>
      </c>
      <c r="E62" s="25">
        <v>146.4</v>
      </c>
      <c r="F62" s="25">
        <v>110.8</v>
      </c>
      <c r="G62" s="25">
        <v>153.1</v>
      </c>
      <c r="H62" s="25">
        <v>172.9</v>
      </c>
      <c r="I62" s="25">
        <v>163.8</v>
      </c>
      <c r="J62" s="25">
        <v>104</v>
      </c>
      <c r="K62" s="25">
        <v>178.7</v>
      </c>
      <c r="L62" s="25">
        <v>169.6</v>
      </c>
      <c r="M62" s="25">
        <v>185</v>
      </c>
      <c r="N62" s="25">
        <v>114.6</v>
      </c>
      <c r="O62" s="25">
        <v>182.8</v>
      </c>
      <c r="P62" s="25">
        <v>188.29999999999998</v>
      </c>
      <c r="Q62" s="25">
        <v>178.9</v>
      </c>
      <c r="R62" s="25">
        <v>111.8</v>
      </c>
      <c r="S62" s="25">
        <v>178.5</v>
      </c>
      <c r="T62" s="25">
        <v>181.9</v>
      </c>
      <c r="U62" s="25">
        <v>177.2</v>
      </c>
      <c r="V62" s="25">
        <v>160.1</v>
      </c>
      <c r="W62" s="25">
        <v>202.3</v>
      </c>
      <c r="X62" s="25">
        <v>206.2</v>
      </c>
      <c r="Y62" s="25">
        <v>201</v>
      </c>
      <c r="Z62" s="25">
        <v>163.8</v>
      </c>
      <c r="AA62" s="25">
        <v>204.3</v>
      </c>
      <c r="AB62" s="25">
        <v>198.6</v>
      </c>
      <c r="AC62" s="25">
        <v>178.1</v>
      </c>
      <c r="AD62" s="25">
        <v>151.5</v>
      </c>
      <c r="AG62" s="87">
        <f t="shared" si="13"/>
        <v>732.5</v>
      </c>
      <c r="AH62" s="87"/>
      <c r="AI62" s="87">
        <f t="shared" si="14"/>
        <v>0</v>
      </c>
    </row>
    <row r="63" spans="3:35" ht="12.75" hidden="1">
      <c r="C63" s="97">
        <f>C62-C19</f>
        <v>-1.0000000000000284</v>
      </c>
      <c r="D63" s="97">
        <f aca="true" t="shared" si="28" ref="D63:AD63">D62-D19</f>
        <v>-1</v>
      </c>
      <c r="E63" s="97">
        <f t="shared" si="28"/>
        <v>-1</v>
      </c>
      <c r="F63" s="97">
        <f t="shared" si="28"/>
        <v>-1</v>
      </c>
      <c r="G63" s="97">
        <f t="shared" si="28"/>
        <v>-1.1999999999999886</v>
      </c>
      <c r="H63" s="97">
        <f t="shared" si="28"/>
        <v>-1.1999999999999886</v>
      </c>
      <c r="I63" s="97">
        <f t="shared" si="28"/>
        <v>-1.1999999999999886</v>
      </c>
      <c r="J63" s="97">
        <f t="shared" si="28"/>
        <v>-1.2000000000000028</v>
      </c>
      <c r="K63" s="97">
        <f t="shared" si="28"/>
        <v>-4.099999999999994</v>
      </c>
      <c r="L63" s="97">
        <f t="shared" si="28"/>
        <v>-4.099999999999994</v>
      </c>
      <c r="M63" s="97">
        <f t="shared" si="28"/>
        <v>-4.099999999999994</v>
      </c>
      <c r="N63" s="97">
        <f t="shared" si="28"/>
        <v>-4.099999999999994</v>
      </c>
      <c r="O63" s="97">
        <f t="shared" si="28"/>
        <v>-3.9000000000000057</v>
      </c>
      <c r="P63" s="97">
        <f t="shared" si="28"/>
        <v>-3.900000000000034</v>
      </c>
      <c r="Q63" s="97">
        <f t="shared" si="28"/>
        <v>-3.9000000000000057</v>
      </c>
      <c r="R63" s="97">
        <f t="shared" si="28"/>
        <v>-3.9000000000000057</v>
      </c>
      <c r="S63" s="97">
        <f t="shared" si="28"/>
        <v>-9.099999999999994</v>
      </c>
      <c r="T63" s="97">
        <f t="shared" si="28"/>
        <v>-9.099999999999994</v>
      </c>
      <c r="U63" s="97">
        <f t="shared" si="28"/>
        <v>-9.099999999999994</v>
      </c>
      <c r="V63" s="97">
        <f t="shared" si="28"/>
        <v>-9.099999999999994</v>
      </c>
      <c r="W63" s="97">
        <f t="shared" si="28"/>
        <v>-11</v>
      </c>
      <c r="X63" s="97">
        <f t="shared" si="28"/>
        <v>-11</v>
      </c>
      <c r="Y63" s="97">
        <f t="shared" si="28"/>
        <v>-11</v>
      </c>
      <c r="Z63" s="97">
        <f t="shared" si="28"/>
        <v>-11</v>
      </c>
      <c r="AA63" s="97">
        <f t="shared" si="28"/>
        <v>-11.300000000000011</v>
      </c>
      <c r="AB63" s="97">
        <f t="shared" si="28"/>
        <v>-11.400000000000006</v>
      </c>
      <c r="AC63" s="97">
        <f t="shared" si="28"/>
        <v>-11.300000000000011</v>
      </c>
      <c r="AD63" s="97">
        <f t="shared" si="28"/>
        <v>-11.300000000000011</v>
      </c>
      <c r="AG63" s="87">
        <f t="shared" si="13"/>
        <v>-45.30000000000004</v>
      </c>
      <c r="AH63" s="87"/>
      <c r="AI63" s="87">
        <f t="shared" si="14"/>
        <v>0</v>
      </c>
    </row>
    <row r="64" spans="33:35" ht="12.75" hidden="1">
      <c r="AG64" s="87">
        <f t="shared" si="13"/>
        <v>0</v>
      </c>
      <c r="AH64" s="87"/>
      <c r="AI64" s="87">
        <f t="shared" si="14"/>
        <v>0</v>
      </c>
    </row>
    <row r="65" spans="33:35" ht="12.75" hidden="1">
      <c r="AG65" s="87">
        <f t="shared" si="13"/>
        <v>0</v>
      </c>
      <c r="AH65" s="87"/>
      <c r="AI65" s="87">
        <f t="shared" si="14"/>
        <v>0</v>
      </c>
    </row>
    <row r="66" spans="1:35" ht="12.75" hidden="1">
      <c r="A66" s="3" t="s">
        <v>531</v>
      </c>
      <c r="B66" s="25" t="s">
        <v>64</v>
      </c>
      <c r="C66" s="268">
        <v>15.7</v>
      </c>
      <c r="D66" s="268">
        <v>14.2</v>
      </c>
      <c r="E66" s="268">
        <v>20.1</v>
      </c>
      <c r="F66" s="268">
        <v>28</v>
      </c>
      <c r="G66" s="268">
        <v>20.900000000000002</v>
      </c>
      <c r="H66" s="268">
        <v>18.7</v>
      </c>
      <c r="I66" s="268">
        <v>15.2</v>
      </c>
      <c r="J66" s="268">
        <v>28.400000000000002</v>
      </c>
      <c r="K66" s="268">
        <v>18</v>
      </c>
      <c r="L66" s="268">
        <v>21.299999999999997</v>
      </c>
      <c r="M66" s="268">
        <v>20.9</v>
      </c>
      <c r="N66" s="268">
        <v>44.1</v>
      </c>
      <c r="O66" s="268">
        <v>31.700000000000003</v>
      </c>
      <c r="P66" s="268">
        <v>26.8</v>
      </c>
      <c r="Q66" s="268">
        <v>27.700000000000003</v>
      </c>
      <c r="R66" s="268">
        <v>28</v>
      </c>
      <c r="S66" s="268">
        <v>25.4</v>
      </c>
      <c r="T66" s="268">
        <v>28.199999999999996</v>
      </c>
      <c r="U66" s="268">
        <v>27.199999999999996</v>
      </c>
      <c r="V66" s="268">
        <v>31.699999999999996</v>
      </c>
      <c r="W66" s="268">
        <v>22.700000000000003</v>
      </c>
      <c r="X66" s="268">
        <v>24</v>
      </c>
      <c r="Y66" s="268">
        <v>21.6</v>
      </c>
      <c r="Z66" s="268">
        <v>25.9</v>
      </c>
      <c r="AA66" s="268">
        <v>20.2</v>
      </c>
      <c r="AB66" s="268">
        <v>22.4</v>
      </c>
      <c r="AC66" s="268">
        <v>22.3</v>
      </c>
      <c r="AD66" s="268">
        <v>27.400000000000002</v>
      </c>
      <c r="AE66" s="3">
        <v>21.6</v>
      </c>
      <c r="AG66" s="87">
        <f t="shared" si="13"/>
        <v>92.3</v>
      </c>
      <c r="AH66" s="87"/>
      <c r="AI66" s="87">
        <f t="shared" si="14"/>
        <v>21.6</v>
      </c>
    </row>
    <row r="67" spans="1:35" ht="12.75" hidden="1">
      <c r="A67" s="3" t="s">
        <v>271</v>
      </c>
      <c r="B67" s="25" t="s">
        <v>65</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3">
        <v>0</v>
      </c>
      <c r="AG67" s="87">
        <f t="shared" si="13"/>
        <v>0</v>
      </c>
      <c r="AH67" s="87"/>
      <c r="AI67" s="87">
        <f t="shared" si="14"/>
        <v>0</v>
      </c>
    </row>
    <row r="68" spans="33:35" ht="12.75" hidden="1">
      <c r="AG68" s="87">
        <f t="shared" si="13"/>
        <v>0</v>
      </c>
      <c r="AH68" s="87"/>
      <c r="AI68" s="87">
        <f t="shared" si="14"/>
        <v>0</v>
      </c>
    </row>
    <row r="69" spans="1:35" ht="12.75" hidden="1">
      <c r="A69" s="3" t="s">
        <v>191</v>
      </c>
      <c r="B69" s="25" t="s">
        <v>59</v>
      </c>
      <c r="C69" s="268">
        <v>223.3</v>
      </c>
      <c r="D69" s="268">
        <v>234.30000000000004</v>
      </c>
      <c r="E69" s="268">
        <v>231.69999999999996</v>
      </c>
      <c r="F69" s="268">
        <v>213.49999999999997</v>
      </c>
      <c r="G69" s="268">
        <v>207.89999999999995</v>
      </c>
      <c r="H69" s="268">
        <v>217.00000000000003</v>
      </c>
      <c r="I69" s="268">
        <v>229.5</v>
      </c>
      <c r="J69" s="268">
        <v>240.09999999999994</v>
      </c>
      <c r="K69" s="268">
        <v>238.09999999999997</v>
      </c>
      <c r="L69" s="268">
        <v>254.00000000000006</v>
      </c>
      <c r="M69" s="268">
        <v>257.1</v>
      </c>
      <c r="N69" s="268">
        <v>231.6</v>
      </c>
      <c r="O69" s="268">
        <v>232.40000000000003</v>
      </c>
      <c r="P69" s="268">
        <v>250.79999999999995</v>
      </c>
      <c r="Q69" s="268">
        <v>259.5</v>
      </c>
      <c r="R69" s="268">
        <v>260.2</v>
      </c>
      <c r="S69" s="268">
        <v>260.50000000000006</v>
      </c>
      <c r="T69" s="268">
        <v>267.49999999999994</v>
      </c>
      <c r="U69" s="268">
        <v>270.49999999999994</v>
      </c>
      <c r="V69" s="268">
        <v>259.09999999999997</v>
      </c>
      <c r="W69" s="268">
        <v>258</v>
      </c>
      <c r="X69" s="268">
        <v>261.40000000000003</v>
      </c>
      <c r="Y69" s="268">
        <v>262.20000000000005</v>
      </c>
      <c r="Z69" s="268">
        <v>266.70000000000005</v>
      </c>
      <c r="AA69" s="268">
        <v>251.10000000000002</v>
      </c>
      <c r="AB69" s="268">
        <v>261.00000000000006</v>
      </c>
      <c r="AC69" s="268">
        <v>245</v>
      </c>
      <c r="AD69" s="268">
        <v>264.8</v>
      </c>
      <c r="AE69" s="3">
        <v>276.0999999999999</v>
      </c>
      <c r="AG69" s="87">
        <f t="shared" si="13"/>
        <v>1021.9000000000001</v>
      </c>
      <c r="AH69" s="87"/>
      <c r="AI69" s="87">
        <f t="shared" si="14"/>
        <v>276.0999999999999</v>
      </c>
    </row>
    <row r="70" spans="3:35" ht="12.75" hidden="1">
      <c r="C70" s="97">
        <f>C69-C10</f>
        <v>0</v>
      </c>
      <c r="D70" s="97">
        <f aca="true" t="shared" si="29" ref="D70:AD70">D69-D10</f>
        <v>0</v>
      </c>
      <c r="E70" s="97">
        <f t="shared" si="29"/>
        <v>0</v>
      </c>
      <c r="F70" s="97">
        <f t="shared" si="29"/>
        <v>0</v>
      </c>
      <c r="G70" s="97">
        <f t="shared" si="29"/>
        <v>0</v>
      </c>
      <c r="H70" s="97">
        <f t="shared" si="29"/>
        <v>0</v>
      </c>
      <c r="I70" s="97">
        <f t="shared" si="29"/>
        <v>0</v>
      </c>
      <c r="J70" s="97">
        <f t="shared" si="29"/>
        <v>0</v>
      </c>
      <c r="K70" s="97">
        <f t="shared" si="29"/>
        <v>0</v>
      </c>
      <c r="L70" s="97">
        <f t="shared" si="29"/>
        <v>0</v>
      </c>
      <c r="M70" s="97">
        <f t="shared" si="29"/>
        <v>0</v>
      </c>
      <c r="N70" s="97">
        <f t="shared" si="29"/>
        <v>0</v>
      </c>
      <c r="O70" s="97">
        <f t="shared" si="29"/>
        <v>0</v>
      </c>
      <c r="P70" s="97">
        <f t="shared" si="29"/>
        <v>0</v>
      </c>
      <c r="Q70" s="97">
        <f t="shared" si="29"/>
        <v>0</v>
      </c>
      <c r="R70" s="97">
        <f t="shared" si="29"/>
        <v>0</v>
      </c>
      <c r="S70" s="97">
        <f t="shared" si="29"/>
        <v>0</v>
      </c>
      <c r="T70" s="97">
        <f t="shared" si="29"/>
        <v>0</v>
      </c>
      <c r="U70" s="97">
        <f t="shared" si="29"/>
        <v>0</v>
      </c>
      <c r="V70" s="97">
        <f t="shared" si="29"/>
        <v>0</v>
      </c>
      <c r="W70" s="97">
        <f t="shared" si="29"/>
        <v>0</v>
      </c>
      <c r="X70" s="97">
        <f t="shared" si="29"/>
        <v>0</v>
      </c>
      <c r="Y70" s="97">
        <f t="shared" si="29"/>
        <v>0</v>
      </c>
      <c r="Z70" s="97">
        <f t="shared" si="29"/>
        <v>0</v>
      </c>
      <c r="AA70" s="97">
        <f t="shared" si="29"/>
        <v>0</v>
      </c>
      <c r="AB70" s="97">
        <f t="shared" si="29"/>
        <v>0</v>
      </c>
      <c r="AC70" s="97">
        <f t="shared" si="29"/>
        <v>0</v>
      </c>
      <c r="AD70" s="97">
        <f t="shared" si="29"/>
        <v>0</v>
      </c>
      <c r="AG70" s="87">
        <f t="shared" si="13"/>
        <v>0</v>
      </c>
      <c r="AH70" s="87"/>
      <c r="AI70" s="87">
        <f t="shared" si="14"/>
        <v>0</v>
      </c>
    </row>
    <row r="72" spans="27:31" ht="12.75">
      <c r="AA72" s="268"/>
      <c r="AB72" s="268"/>
      <c r="AC72" s="268"/>
      <c r="AD72" s="268"/>
      <c r="AE72" s="268"/>
    </row>
    <row r="73" spans="27:31" ht="12.75">
      <c r="AA73" s="268"/>
      <c r="AB73" s="268"/>
      <c r="AC73" s="268"/>
      <c r="AD73" s="268"/>
      <c r="AE73" s="268"/>
    </row>
    <row r="74" spans="27:31" ht="12.75">
      <c r="AA74" s="268"/>
      <c r="AB74" s="268"/>
      <c r="AC74" s="268"/>
      <c r="AD74" s="268"/>
      <c r="AE74" s="268"/>
    </row>
    <row r="75" spans="27:31" ht="12.75">
      <c r="AA75" s="97"/>
      <c r="AB75" s="97"/>
      <c r="AC75" s="97"/>
      <c r="AD75" s="97"/>
      <c r="AE75" s="97"/>
    </row>
    <row r="76" spans="27:31" ht="12.75">
      <c r="AA76" s="97"/>
      <c r="AB76" s="97"/>
      <c r="AC76" s="97"/>
      <c r="AD76" s="97"/>
      <c r="AE76" s="97"/>
    </row>
  </sheetData>
  <sheetProtection/>
  <mergeCells count="10">
    <mergeCell ref="AE2:AG2"/>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7" r:id="rId1"/>
  <ignoredErrors>
    <ignoredError sqref="C16:AD16"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R18"/>
  <sheetViews>
    <sheetView showGridLines="0" view="pageBreakPreview" zoomScaleSheetLayoutView="100" zoomScalePageLayoutView="80" workbookViewId="0" topLeftCell="A1">
      <pane xSplit="2" ySplit="3" topLeftCell="J4" activePane="bottomRight" state="frozen"/>
      <selection pane="topLeft" activeCell="B2" sqref="B2:B3"/>
      <selection pane="topRight" activeCell="B2" sqref="B2:B3"/>
      <selection pane="bottomLeft" activeCell="B2" sqref="B2:B3"/>
      <selection pane="bottomRight" activeCell="B1" sqref="B1:B16384"/>
    </sheetView>
  </sheetViews>
  <sheetFormatPr defaultColWidth="9.00390625" defaultRowHeight="12.75" outlineLevelCol="1"/>
  <cols>
    <col min="1" max="1" width="50.50390625" style="2" customWidth="1"/>
    <col min="2" max="2" width="50.625" style="2" hidden="1" customWidth="1" outlineLevel="1"/>
    <col min="3" max="3" width="5.50390625" style="3" bestFit="1" customWidth="1" collapsed="1"/>
    <col min="4" max="9" width="5.50390625" style="3" bestFit="1" customWidth="1"/>
    <col min="10" max="10" width="6.125" style="3" bestFit="1" customWidth="1"/>
    <col min="11" max="24" width="5.50390625" style="3" bestFit="1" customWidth="1"/>
    <col min="25" max="33" width="5.50390625" style="3" customWidth="1"/>
    <col min="34" max="34" width="8.50390625" style="3" customWidth="1"/>
    <col min="35" max="35" width="9.125" style="3" customWidth="1"/>
    <col min="36" max="42" width="8.875" style="3" customWidth="1"/>
    <col min="43" max="16384" width="8.875" style="3" customWidth="1"/>
  </cols>
  <sheetData>
    <row r="1" spans="1:2" ht="12.75">
      <c r="A1" s="259" t="s">
        <v>585</v>
      </c>
      <c r="B1" s="259" t="s">
        <v>586</v>
      </c>
    </row>
    <row r="2" spans="1:35" ht="12.75">
      <c r="A2" s="343" t="s">
        <v>527</v>
      </c>
      <c r="B2" s="343" t="s">
        <v>49</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2"/>
      <c r="AA2" s="340">
        <v>2013</v>
      </c>
      <c r="AB2" s="341"/>
      <c r="AC2" s="341"/>
      <c r="AD2" s="342"/>
      <c r="AE2" s="340">
        <v>2014</v>
      </c>
      <c r="AF2" s="341"/>
      <c r="AG2" s="341"/>
      <c r="AH2" s="262"/>
      <c r="AI2" s="262"/>
    </row>
    <row r="3" spans="1:35" s="4" customFormat="1" ht="33.75" customHeight="1">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6" t="s">
        <v>183</v>
      </c>
      <c r="AA3" s="34" t="s">
        <v>180</v>
      </c>
      <c r="AB3" s="35" t="s">
        <v>181</v>
      </c>
      <c r="AC3" s="35" t="s">
        <v>182</v>
      </c>
      <c r="AD3" s="36" t="s">
        <v>183</v>
      </c>
      <c r="AE3" s="35" t="s">
        <v>180</v>
      </c>
      <c r="AF3" s="35" t="s">
        <v>181</v>
      </c>
      <c r="AG3" s="35" t="s">
        <v>182</v>
      </c>
      <c r="AH3" s="35"/>
      <c r="AI3" s="35"/>
    </row>
    <row r="4" spans="1:42" s="4" customFormat="1" ht="12.75" customHeight="1">
      <c r="A4" s="20" t="s">
        <v>185</v>
      </c>
      <c r="B4" s="20" t="s">
        <v>12</v>
      </c>
      <c r="C4" s="16"/>
      <c r="D4" s="5"/>
      <c r="E4" s="5"/>
      <c r="F4" s="5"/>
      <c r="G4" s="16"/>
      <c r="H4" s="5"/>
      <c r="I4" s="5"/>
      <c r="J4" s="18"/>
      <c r="K4" s="16"/>
      <c r="L4" s="5"/>
      <c r="M4" s="5"/>
      <c r="N4" s="18"/>
      <c r="O4" s="16"/>
      <c r="P4" s="5"/>
      <c r="Q4" s="5"/>
      <c r="R4" s="18"/>
      <c r="S4" s="16"/>
      <c r="T4" s="5"/>
      <c r="U4" s="5"/>
      <c r="V4" s="18"/>
      <c r="W4" s="16"/>
      <c r="X4" s="5"/>
      <c r="Y4" s="5"/>
      <c r="Z4" s="18"/>
      <c r="AA4" s="16"/>
      <c r="AB4" s="5"/>
      <c r="AC4" s="5"/>
      <c r="AD4" s="18"/>
      <c r="AE4" s="5"/>
      <c r="AF4" s="5"/>
      <c r="AG4" s="5"/>
      <c r="AH4" s="263"/>
      <c r="AI4" s="263"/>
      <c r="AJ4" s="263"/>
      <c r="AK4" s="263"/>
      <c r="AL4" s="263"/>
      <c r="AP4" s="265"/>
    </row>
    <row r="5" spans="1:44" s="7" customFormat="1" ht="12.75">
      <c r="A5" s="37" t="s">
        <v>203</v>
      </c>
      <c r="B5" s="37" t="s">
        <v>46</v>
      </c>
      <c r="C5" s="46">
        <f aca="true" t="shared" si="0" ref="C5:X5">SUM(C6:C9)</f>
        <v>219.23446177487298</v>
      </c>
      <c r="D5" s="47">
        <f t="shared" si="0"/>
        <v>212.83446177487298</v>
      </c>
      <c r="E5" s="47">
        <f t="shared" si="0"/>
        <v>221.734461774873</v>
      </c>
      <c r="F5" s="47">
        <f t="shared" si="0"/>
        <v>192.534461774873</v>
      </c>
      <c r="G5" s="46">
        <f t="shared" si="0"/>
        <v>285.24199121427245</v>
      </c>
      <c r="H5" s="47">
        <f t="shared" si="0"/>
        <v>273.34199121427247</v>
      </c>
      <c r="I5" s="47">
        <f t="shared" si="0"/>
        <v>277.34199121427247</v>
      </c>
      <c r="J5" s="48">
        <f t="shared" si="0"/>
        <v>34.441991214272434</v>
      </c>
      <c r="K5" s="46">
        <f t="shared" si="0"/>
        <v>263.01495819501633</v>
      </c>
      <c r="L5" s="47">
        <f t="shared" si="0"/>
        <v>335.11495819501636</v>
      </c>
      <c r="M5" s="47">
        <f t="shared" si="0"/>
        <v>367.2149581950164</v>
      </c>
      <c r="N5" s="48">
        <f t="shared" si="0"/>
        <v>282.81495819501635</v>
      </c>
      <c r="O5" s="46">
        <f t="shared" si="0"/>
        <v>353.233829208522</v>
      </c>
      <c r="P5" s="47">
        <f t="shared" si="0"/>
        <v>321.433829208522</v>
      </c>
      <c r="Q5" s="47">
        <f t="shared" si="0"/>
        <v>333.53382920852204</v>
      </c>
      <c r="R5" s="48">
        <f t="shared" si="0"/>
        <v>311.93382920852207</v>
      </c>
      <c r="S5" s="46">
        <f t="shared" si="0"/>
        <v>352.35273582985053</v>
      </c>
      <c r="T5" s="47">
        <f t="shared" si="0"/>
        <v>357.9527358298505</v>
      </c>
      <c r="U5" s="47">
        <f t="shared" si="0"/>
        <v>358.4527358298505</v>
      </c>
      <c r="V5" s="48">
        <f t="shared" si="0"/>
        <v>376.4527358298505</v>
      </c>
      <c r="W5" s="46">
        <f t="shared" si="0"/>
        <v>458.0360948806541</v>
      </c>
      <c r="X5" s="47">
        <f t="shared" si="0"/>
        <v>410.4360948806542</v>
      </c>
      <c r="Y5" s="260">
        <f aca="true" t="shared" si="1" ref="Y5:AG5">SUM(Y6:Y9)</f>
        <v>405.8360948806542</v>
      </c>
      <c r="Z5" s="261">
        <f t="shared" si="1"/>
        <v>405.93609488065414</v>
      </c>
      <c r="AA5" s="46">
        <f t="shared" si="1"/>
        <v>447.09999999999997</v>
      </c>
      <c r="AB5" s="47">
        <f t="shared" si="1"/>
        <v>421.70000000000005</v>
      </c>
      <c r="AC5" s="260">
        <f t="shared" si="1"/>
        <v>410.90000000000003</v>
      </c>
      <c r="AD5" s="261">
        <f>SUM(AD6:AD9)</f>
        <v>417.2</v>
      </c>
      <c r="AE5" s="47">
        <f>SUM(AE6:AE9)</f>
        <v>428.5</v>
      </c>
      <c r="AF5" s="260">
        <f>SUM(AF6:AF9)</f>
        <v>426.59999999999997</v>
      </c>
      <c r="AG5" s="260">
        <f t="shared" si="1"/>
        <v>430.4</v>
      </c>
      <c r="AH5" s="264"/>
      <c r="AI5" s="264"/>
      <c r="AJ5" s="87"/>
      <c r="AK5" s="87"/>
      <c r="AL5" s="87"/>
      <c r="AM5" s="87"/>
      <c r="AN5" s="87"/>
      <c r="AO5" s="87"/>
      <c r="AP5" s="266"/>
      <c r="AQ5" s="87"/>
      <c r="AR5" s="87"/>
    </row>
    <row r="6" spans="1:44" s="4" customFormat="1" ht="12.75">
      <c r="A6" s="88" t="s">
        <v>188</v>
      </c>
      <c r="B6" s="88" t="s">
        <v>425</v>
      </c>
      <c r="C6" s="39">
        <v>98.1</v>
      </c>
      <c r="D6" s="40">
        <v>102.6</v>
      </c>
      <c r="E6" s="40">
        <v>105.8</v>
      </c>
      <c r="F6" s="40">
        <v>109.4</v>
      </c>
      <c r="G6" s="39">
        <v>129.1</v>
      </c>
      <c r="H6" s="40">
        <v>169.8</v>
      </c>
      <c r="I6" s="40">
        <v>150.3</v>
      </c>
      <c r="J6" s="41">
        <v>220.5</v>
      </c>
      <c r="K6" s="39">
        <v>188.1</v>
      </c>
      <c r="L6" s="40">
        <v>146</v>
      </c>
      <c r="M6" s="40">
        <v>224.9</v>
      </c>
      <c r="N6" s="41">
        <v>201.4</v>
      </c>
      <c r="O6" s="39">
        <v>212.4</v>
      </c>
      <c r="P6" s="40">
        <v>203.1</v>
      </c>
      <c r="Q6" s="40">
        <v>211.1</v>
      </c>
      <c r="R6" s="41">
        <v>185.2</v>
      </c>
      <c r="S6" s="39">
        <v>196.6</v>
      </c>
      <c r="T6" s="40">
        <v>213.7</v>
      </c>
      <c r="U6" s="40">
        <v>243.5</v>
      </c>
      <c r="V6" s="41">
        <v>242.8</v>
      </c>
      <c r="W6" s="39">
        <v>269.4</v>
      </c>
      <c r="X6" s="40">
        <v>259</v>
      </c>
      <c r="Y6" s="68">
        <v>250</v>
      </c>
      <c r="Z6" s="69">
        <v>267</v>
      </c>
      <c r="AA6" s="67">
        <f>246.9-1.6</f>
        <v>245.3</v>
      </c>
      <c r="AB6" s="40">
        <v>245.8</v>
      </c>
      <c r="AC6" s="68">
        <v>254.8</v>
      </c>
      <c r="AD6" s="41">
        <v>265.2</v>
      </c>
      <c r="AE6" s="40">
        <v>259.8</v>
      </c>
      <c r="AF6" s="68">
        <v>251.7</v>
      </c>
      <c r="AG6" s="68">
        <v>254.3</v>
      </c>
      <c r="AH6" s="264"/>
      <c r="AI6" s="264"/>
      <c r="AJ6" s="87"/>
      <c r="AK6" s="87"/>
      <c r="AL6" s="87"/>
      <c r="AM6" s="87"/>
      <c r="AN6" s="87"/>
      <c r="AO6" s="87"/>
      <c r="AP6" s="266"/>
      <c r="AQ6" s="87"/>
      <c r="AR6" s="87"/>
    </row>
    <row r="7" spans="1:44" s="7" customFormat="1" ht="12.75">
      <c r="A7" s="88" t="s">
        <v>191</v>
      </c>
      <c r="B7" s="88" t="s">
        <v>426</v>
      </c>
      <c r="C7" s="39">
        <v>93.13446177487299</v>
      </c>
      <c r="D7" s="40">
        <v>97.73446177487298</v>
      </c>
      <c r="E7" s="40">
        <v>96.63446177487299</v>
      </c>
      <c r="F7" s="40">
        <v>89.03446177487298</v>
      </c>
      <c r="G7" s="39">
        <v>83.64199121427244</v>
      </c>
      <c r="H7" s="40">
        <v>70.84199121427244</v>
      </c>
      <c r="I7" s="40">
        <v>88.74199121427245</v>
      </c>
      <c r="J7" s="41">
        <v>50.741991214272446</v>
      </c>
      <c r="K7" s="39">
        <v>91.31495819501635</v>
      </c>
      <c r="L7" s="40">
        <v>104.41495819501634</v>
      </c>
      <c r="M7" s="40">
        <v>97.31495819501635</v>
      </c>
      <c r="N7" s="41">
        <v>143.21495819501635</v>
      </c>
      <c r="O7" s="39">
        <v>115.13382920852204</v>
      </c>
      <c r="P7" s="40">
        <v>91.63382920852204</v>
      </c>
      <c r="Q7" s="40">
        <v>98.63382920852204</v>
      </c>
      <c r="R7" s="41">
        <v>163.73382920852205</v>
      </c>
      <c r="S7" s="39">
        <v>129.6527358298505</v>
      </c>
      <c r="T7" s="40">
        <v>140.05273582985052</v>
      </c>
      <c r="U7" s="40">
        <v>148.1527358298505</v>
      </c>
      <c r="V7" s="41">
        <v>135.7527358298505</v>
      </c>
      <c r="W7" s="39">
        <v>140.23609488065415</v>
      </c>
      <c r="X7" s="40">
        <v>145.33609488065414</v>
      </c>
      <c r="Y7" s="68">
        <v>144.03609488065416</v>
      </c>
      <c r="Z7" s="69">
        <v>145.93609488065414</v>
      </c>
      <c r="AA7" s="67">
        <v>143.6</v>
      </c>
      <c r="AB7" s="40">
        <v>146.9</v>
      </c>
      <c r="AC7" s="68">
        <v>147</v>
      </c>
      <c r="AD7" s="41">
        <v>145.8</v>
      </c>
      <c r="AE7" s="40">
        <v>153.5</v>
      </c>
      <c r="AF7" s="68">
        <v>156.2</v>
      </c>
      <c r="AG7" s="68">
        <v>160.1</v>
      </c>
      <c r="AH7" s="264"/>
      <c r="AI7" s="264"/>
      <c r="AJ7" s="87"/>
      <c r="AK7" s="87"/>
      <c r="AL7" s="87"/>
      <c r="AM7" s="87"/>
      <c r="AN7" s="87"/>
      <c r="AO7" s="87"/>
      <c r="AP7" s="266"/>
      <c r="AQ7" s="87"/>
      <c r="AR7" s="87"/>
    </row>
    <row r="8" spans="1:44" s="7" customFormat="1" ht="12.75">
      <c r="A8" s="38" t="s">
        <v>204</v>
      </c>
      <c r="B8" s="38" t="s">
        <v>427</v>
      </c>
      <c r="C8" s="39">
        <v>28</v>
      </c>
      <c r="D8" s="40">
        <v>12.5</v>
      </c>
      <c r="E8" s="40">
        <v>19.3</v>
      </c>
      <c r="F8" s="40">
        <v>-5.9</v>
      </c>
      <c r="G8" s="39">
        <v>72.5</v>
      </c>
      <c r="H8" s="40">
        <v>32.7</v>
      </c>
      <c r="I8" s="40">
        <v>38.3</v>
      </c>
      <c r="J8" s="41">
        <v>-236.8</v>
      </c>
      <c r="K8" s="39">
        <v>-16.4</v>
      </c>
      <c r="L8" s="40">
        <v>84.7</v>
      </c>
      <c r="M8" s="40">
        <v>45</v>
      </c>
      <c r="N8" s="41">
        <v>-61.8</v>
      </c>
      <c r="O8" s="39">
        <v>25.7</v>
      </c>
      <c r="P8" s="40">
        <v>26.7</v>
      </c>
      <c r="Q8" s="40">
        <v>23.8</v>
      </c>
      <c r="R8" s="41">
        <v>-37</v>
      </c>
      <c r="S8" s="39">
        <v>26.1</v>
      </c>
      <c r="T8" s="40">
        <f>4.2</f>
        <v>4.2</v>
      </c>
      <c r="U8" s="40">
        <v>-33.2</v>
      </c>
      <c r="V8" s="41">
        <v>-2.1</v>
      </c>
      <c r="W8" s="39">
        <v>48.4</v>
      </c>
      <c r="X8" s="40">
        <v>6.1</v>
      </c>
      <c r="Y8" s="68">
        <v>11.8</v>
      </c>
      <c r="Z8" s="69">
        <f>-6.9-0.1</f>
        <v>-7</v>
      </c>
      <c r="AA8" s="67">
        <v>58.2</v>
      </c>
      <c r="AB8" s="40">
        <v>29</v>
      </c>
      <c r="AC8" s="68">
        <v>9.1</v>
      </c>
      <c r="AD8" s="41">
        <v>6.2</v>
      </c>
      <c r="AE8" s="40">
        <v>15.2</v>
      </c>
      <c r="AF8" s="68">
        <v>18.7</v>
      </c>
      <c r="AG8" s="68">
        <v>16</v>
      </c>
      <c r="AH8" s="264"/>
      <c r="AI8" s="264"/>
      <c r="AJ8" s="87"/>
      <c r="AK8" s="87"/>
      <c r="AL8" s="87"/>
      <c r="AM8" s="87"/>
      <c r="AN8" s="87"/>
      <c r="AO8" s="87"/>
      <c r="AP8" s="266"/>
      <c r="AQ8" s="87"/>
      <c r="AR8" s="87"/>
    </row>
    <row r="9" spans="1:44" s="4" customFormat="1" ht="22.5" customHeight="1" hidden="1">
      <c r="A9" s="88" t="s">
        <v>205</v>
      </c>
      <c r="B9" s="88" t="s">
        <v>428</v>
      </c>
      <c r="C9" s="39">
        <v>0</v>
      </c>
      <c r="D9" s="40">
        <v>0</v>
      </c>
      <c r="E9" s="40">
        <v>0</v>
      </c>
      <c r="F9" s="40">
        <v>0</v>
      </c>
      <c r="G9" s="39">
        <v>0</v>
      </c>
      <c r="H9" s="40">
        <v>0</v>
      </c>
      <c r="I9" s="40">
        <v>0</v>
      </c>
      <c r="J9" s="41">
        <v>0</v>
      </c>
      <c r="K9" s="39">
        <v>0</v>
      </c>
      <c r="L9" s="40">
        <v>0</v>
      </c>
      <c r="M9" s="40">
        <v>0</v>
      </c>
      <c r="N9" s="41">
        <v>0</v>
      </c>
      <c r="O9" s="39">
        <v>0</v>
      </c>
      <c r="P9" s="40">
        <v>0</v>
      </c>
      <c r="Q9" s="40">
        <v>0</v>
      </c>
      <c r="R9" s="41">
        <v>0</v>
      </c>
      <c r="S9" s="39">
        <v>0</v>
      </c>
      <c r="T9" s="40">
        <v>0</v>
      </c>
      <c r="U9" s="40">
        <v>0</v>
      </c>
      <c r="V9" s="41">
        <v>0</v>
      </c>
      <c r="W9" s="39">
        <v>0</v>
      </c>
      <c r="X9" s="40">
        <v>0</v>
      </c>
      <c r="Y9" s="68">
        <v>0</v>
      </c>
      <c r="Z9" s="69">
        <v>0</v>
      </c>
      <c r="AA9" s="67">
        <v>0</v>
      </c>
      <c r="AB9" s="40">
        <v>0</v>
      </c>
      <c r="AC9" s="68">
        <v>0</v>
      </c>
      <c r="AD9" s="41">
        <v>0</v>
      </c>
      <c r="AE9" s="40">
        <v>0</v>
      </c>
      <c r="AF9" s="68">
        <v>0</v>
      </c>
      <c r="AG9" s="68">
        <v>0</v>
      </c>
      <c r="AH9" s="264"/>
      <c r="AI9" s="264"/>
      <c r="AJ9" s="87"/>
      <c r="AK9" s="87"/>
      <c r="AL9" s="87"/>
      <c r="AM9" s="87"/>
      <c r="AN9" s="87"/>
      <c r="AO9" s="87"/>
      <c r="AP9" s="266"/>
      <c r="AQ9" s="87"/>
      <c r="AR9" s="87"/>
    </row>
    <row r="10" spans="1:44" s="9" customFormat="1" ht="12.75">
      <c r="A10" s="98" t="s">
        <v>206</v>
      </c>
      <c r="B10" s="98" t="s">
        <v>47</v>
      </c>
      <c r="C10" s="46">
        <f aca="true" t="shared" si="2" ref="C10:X10">SUM(C11:C13)</f>
        <v>122.83446177487298</v>
      </c>
      <c r="D10" s="47">
        <f t="shared" si="2"/>
        <v>126.33446177487298</v>
      </c>
      <c r="E10" s="47">
        <f t="shared" si="2"/>
        <v>130.53446177487297</v>
      </c>
      <c r="F10" s="47">
        <f t="shared" si="2"/>
        <v>130.33446177487298</v>
      </c>
      <c r="G10" s="46">
        <f t="shared" si="2"/>
        <v>133.34199121427244</v>
      </c>
      <c r="H10" s="47">
        <f t="shared" si="2"/>
        <v>138.34199121427244</v>
      </c>
      <c r="I10" s="47">
        <f t="shared" si="2"/>
        <v>157.24199121427245</v>
      </c>
      <c r="J10" s="48">
        <f t="shared" si="2"/>
        <v>110.04199121427244</v>
      </c>
      <c r="K10" s="46">
        <f t="shared" si="2"/>
        <v>136.51495819501636</v>
      </c>
      <c r="L10" s="47">
        <f t="shared" si="2"/>
        <v>137.41495819501634</v>
      </c>
      <c r="M10" s="47">
        <f t="shared" si="2"/>
        <v>143.91495819501637</v>
      </c>
      <c r="N10" s="48">
        <f t="shared" si="2"/>
        <v>121.01495819501636</v>
      </c>
      <c r="O10" s="46">
        <f t="shared" si="2"/>
        <v>144.93382920852207</v>
      </c>
      <c r="P10" s="47">
        <f t="shared" si="2"/>
        <v>149.33382920852205</v>
      </c>
      <c r="Q10" s="47">
        <f t="shared" si="2"/>
        <v>146.73382920852205</v>
      </c>
      <c r="R10" s="48">
        <f t="shared" si="2"/>
        <v>143.43382920852204</v>
      </c>
      <c r="S10" s="46">
        <f t="shared" si="2"/>
        <v>162.85273582985053</v>
      </c>
      <c r="T10" s="47">
        <f t="shared" si="2"/>
        <v>176.55273582985052</v>
      </c>
      <c r="U10" s="47">
        <f t="shared" si="2"/>
        <v>167.85273582985053</v>
      </c>
      <c r="V10" s="48">
        <f t="shared" si="2"/>
        <v>170.65273582985054</v>
      </c>
      <c r="W10" s="46">
        <f t="shared" si="2"/>
        <v>189.83609488065414</v>
      </c>
      <c r="X10" s="47">
        <f t="shared" si="2"/>
        <v>182.63609488065416</v>
      </c>
      <c r="Y10" s="260">
        <f aca="true" t="shared" si="3" ref="Y10:AG10">SUM(Y11:Y13)</f>
        <v>188.03609488065416</v>
      </c>
      <c r="Z10" s="261">
        <f t="shared" si="3"/>
        <v>189.63609488065418</v>
      </c>
      <c r="AA10" s="311">
        <f>SUM(AA11:AA13)</f>
        <v>182.7</v>
      </c>
      <c r="AB10" s="47">
        <f t="shared" si="3"/>
        <v>182.5</v>
      </c>
      <c r="AC10" s="260">
        <f t="shared" si="3"/>
        <v>179.60000000000002</v>
      </c>
      <c r="AD10" s="48">
        <f>SUM(AD11:AD13)</f>
        <v>192.7</v>
      </c>
      <c r="AE10" s="47">
        <f>SUM(AE11:AE13)</f>
        <v>180.7</v>
      </c>
      <c r="AF10" s="260">
        <f>SUM(AF11:AF13)</f>
        <v>186.8</v>
      </c>
      <c r="AG10" s="260">
        <f t="shared" si="3"/>
        <v>193.9</v>
      </c>
      <c r="AH10" s="264"/>
      <c r="AI10" s="264"/>
      <c r="AJ10" s="87"/>
      <c r="AK10" s="87"/>
      <c r="AL10" s="87"/>
      <c r="AM10" s="87"/>
      <c r="AN10" s="87"/>
      <c r="AO10" s="87"/>
      <c r="AP10" s="266"/>
      <c r="AQ10" s="87"/>
      <c r="AR10" s="87"/>
    </row>
    <row r="11" spans="1:44" s="9" customFormat="1" ht="12.75">
      <c r="A11" s="90" t="s">
        <v>395</v>
      </c>
      <c r="B11" s="90" t="s">
        <v>429</v>
      </c>
      <c r="C11" s="39">
        <v>56.3</v>
      </c>
      <c r="D11" s="40">
        <v>61.3</v>
      </c>
      <c r="E11" s="40">
        <v>63.6</v>
      </c>
      <c r="F11" s="40">
        <v>70.8</v>
      </c>
      <c r="G11" s="39">
        <v>68.9</v>
      </c>
      <c r="H11" s="40">
        <v>69.7</v>
      </c>
      <c r="I11" s="40">
        <v>79.5</v>
      </c>
      <c r="J11" s="41">
        <v>78.5</v>
      </c>
      <c r="K11" s="39">
        <v>54.6</v>
      </c>
      <c r="L11" s="40">
        <v>72.1</v>
      </c>
      <c r="M11" s="40">
        <v>68.2</v>
      </c>
      <c r="N11" s="41">
        <v>83.4</v>
      </c>
      <c r="O11" s="39">
        <v>68.9</v>
      </c>
      <c r="P11" s="40">
        <v>71.6</v>
      </c>
      <c r="Q11" s="40">
        <v>75.3</v>
      </c>
      <c r="R11" s="41">
        <v>97.2</v>
      </c>
      <c r="S11" s="39">
        <v>78.3</v>
      </c>
      <c r="T11" s="40">
        <v>91.7</v>
      </c>
      <c r="U11" s="40">
        <v>88.8</v>
      </c>
      <c r="V11" s="41">
        <v>89.6</v>
      </c>
      <c r="W11" s="39">
        <v>99.3</v>
      </c>
      <c r="X11" s="40">
        <v>86.7</v>
      </c>
      <c r="Y11" s="68">
        <v>94.1</v>
      </c>
      <c r="Z11" s="69">
        <v>109.2</v>
      </c>
      <c r="AA11" s="67">
        <v>98.8</v>
      </c>
      <c r="AB11" s="40">
        <f>98+0.1</f>
        <v>98.1</v>
      </c>
      <c r="AC11" s="68">
        <v>100.2</v>
      </c>
      <c r="AD11" s="41">
        <v>89.8</v>
      </c>
      <c r="AE11" s="40">
        <v>100.8</v>
      </c>
      <c r="AF11" s="68">
        <v>104.7</v>
      </c>
      <c r="AG11" s="68">
        <v>104.7</v>
      </c>
      <c r="AH11" s="264"/>
      <c r="AI11" s="264"/>
      <c r="AJ11" s="87"/>
      <c r="AK11" s="87"/>
      <c r="AL11" s="87"/>
      <c r="AM11" s="87"/>
      <c r="AN11" s="87"/>
      <c r="AO11" s="87"/>
      <c r="AP11" s="266"/>
      <c r="AQ11" s="87"/>
      <c r="AR11" s="87"/>
    </row>
    <row r="12" spans="1:44" s="7" customFormat="1" ht="12.75">
      <c r="A12" s="88" t="s">
        <v>396</v>
      </c>
      <c r="B12" s="88" t="s">
        <v>430</v>
      </c>
      <c r="C12" s="39">
        <v>12.6</v>
      </c>
      <c r="D12" s="40">
        <v>13.2</v>
      </c>
      <c r="E12" s="40">
        <v>12.7</v>
      </c>
      <c r="F12" s="40">
        <v>17.8</v>
      </c>
      <c r="G12" s="39">
        <v>8.3</v>
      </c>
      <c r="H12" s="40">
        <v>8</v>
      </c>
      <c r="I12" s="40">
        <v>9.4</v>
      </c>
      <c r="J12" s="41">
        <v>8.6</v>
      </c>
      <c r="K12" s="39">
        <v>7.7</v>
      </c>
      <c r="L12" s="40">
        <v>7.7</v>
      </c>
      <c r="M12" s="40">
        <v>6.1</v>
      </c>
      <c r="N12" s="41">
        <v>7.9</v>
      </c>
      <c r="O12" s="39">
        <v>7.5</v>
      </c>
      <c r="P12" s="40">
        <v>7.5</v>
      </c>
      <c r="Q12" s="40">
        <v>7.9</v>
      </c>
      <c r="R12" s="41">
        <v>8.5</v>
      </c>
      <c r="S12" s="39">
        <v>8.7</v>
      </c>
      <c r="T12" s="40">
        <v>9.8</v>
      </c>
      <c r="U12" s="40">
        <v>9.5</v>
      </c>
      <c r="V12" s="41">
        <v>11.2</v>
      </c>
      <c r="W12" s="39">
        <v>9.6</v>
      </c>
      <c r="X12" s="40">
        <v>9.899999999999999</v>
      </c>
      <c r="Y12" s="68">
        <v>9.799999999999999</v>
      </c>
      <c r="Z12" s="69">
        <v>14.4</v>
      </c>
      <c r="AA12" s="67">
        <v>11.3</v>
      </c>
      <c r="AB12" s="40">
        <v>12.1</v>
      </c>
      <c r="AC12" s="68">
        <v>11.9</v>
      </c>
      <c r="AD12" s="41">
        <v>12.8</v>
      </c>
      <c r="AE12" s="40">
        <v>12</v>
      </c>
      <c r="AF12" s="68">
        <v>12.1</v>
      </c>
      <c r="AG12" s="68">
        <v>12.5</v>
      </c>
      <c r="AH12" s="264"/>
      <c r="AI12" s="264"/>
      <c r="AJ12" s="87"/>
      <c r="AK12" s="87"/>
      <c r="AL12" s="87"/>
      <c r="AM12" s="87"/>
      <c r="AN12" s="87"/>
      <c r="AO12" s="87"/>
      <c r="AP12" s="266"/>
      <c r="AQ12" s="87"/>
      <c r="AR12" s="87"/>
    </row>
    <row r="13" spans="1:44" s="9" customFormat="1" ht="12.75">
      <c r="A13" s="88" t="s">
        <v>397</v>
      </c>
      <c r="B13" s="88" t="s">
        <v>431</v>
      </c>
      <c r="C13" s="39">
        <v>53.934461774872986</v>
      </c>
      <c r="D13" s="40">
        <v>51.834461774872985</v>
      </c>
      <c r="E13" s="40">
        <v>54.23446177487298</v>
      </c>
      <c r="F13" s="40">
        <v>41.73446177487298</v>
      </c>
      <c r="G13" s="39">
        <v>56.141991214272444</v>
      </c>
      <c r="H13" s="40">
        <v>60.641991214272444</v>
      </c>
      <c r="I13" s="40">
        <v>68.34199121427244</v>
      </c>
      <c r="J13" s="41">
        <v>22.941991214272445</v>
      </c>
      <c r="K13" s="39">
        <v>74.21495819501635</v>
      </c>
      <c r="L13" s="40">
        <v>57.61495819501635</v>
      </c>
      <c r="M13" s="40">
        <v>69.61495819501636</v>
      </c>
      <c r="N13" s="41">
        <v>29.71495819501635</v>
      </c>
      <c r="O13" s="39">
        <v>68.53382920852205</v>
      </c>
      <c r="P13" s="40">
        <v>70.23382920852205</v>
      </c>
      <c r="Q13" s="40">
        <v>63.53382920852205</v>
      </c>
      <c r="R13" s="41">
        <v>37.733829208522046</v>
      </c>
      <c r="S13" s="39">
        <v>75.85273582985052</v>
      </c>
      <c r="T13" s="40">
        <v>75.05273582985053</v>
      </c>
      <c r="U13" s="40">
        <v>69.55273582985052</v>
      </c>
      <c r="V13" s="41">
        <v>69.85273582985053</v>
      </c>
      <c r="W13" s="39">
        <v>80.93609488065415</v>
      </c>
      <c r="X13" s="40">
        <v>86.03609488065416</v>
      </c>
      <c r="Y13" s="68">
        <v>84.13609488065416</v>
      </c>
      <c r="Z13" s="69">
        <v>66.03609488065416</v>
      </c>
      <c r="AA13" s="67">
        <v>72.6</v>
      </c>
      <c r="AB13" s="40">
        <v>72.3</v>
      </c>
      <c r="AC13" s="68">
        <v>67.5</v>
      </c>
      <c r="AD13" s="41">
        <v>90.1</v>
      </c>
      <c r="AE13" s="40">
        <v>67.9</v>
      </c>
      <c r="AF13" s="68">
        <v>70</v>
      </c>
      <c r="AG13" s="68">
        <v>76.7</v>
      </c>
      <c r="AH13" s="264"/>
      <c r="AI13" s="264"/>
      <c r="AJ13" s="87"/>
      <c r="AK13" s="87"/>
      <c r="AL13" s="87"/>
      <c r="AM13" s="87"/>
      <c r="AN13" s="87"/>
      <c r="AO13" s="87"/>
      <c r="AP13" s="266"/>
      <c r="AQ13" s="87"/>
      <c r="AR13" s="87"/>
    </row>
    <row r="14" spans="1:44" s="9" customFormat="1" ht="12.75">
      <c r="A14" s="89" t="s">
        <v>392</v>
      </c>
      <c r="B14" s="89" t="s">
        <v>432</v>
      </c>
      <c r="C14" s="46">
        <f>C5-C10</f>
        <v>96.4</v>
      </c>
      <c r="D14" s="47">
        <f aca="true" t="shared" si="4" ref="D14:W14">D5-D10</f>
        <v>86.5</v>
      </c>
      <c r="E14" s="47">
        <f t="shared" si="4"/>
        <v>91.20000000000005</v>
      </c>
      <c r="F14" s="47">
        <f t="shared" si="4"/>
        <v>62.20000000000002</v>
      </c>
      <c r="G14" s="46">
        <f t="shared" si="4"/>
        <v>151.9</v>
      </c>
      <c r="H14" s="47">
        <f t="shared" si="4"/>
        <v>135.00000000000003</v>
      </c>
      <c r="I14" s="47">
        <f t="shared" si="4"/>
        <v>120.10000000000002</v>
      </c>
      <c r="J14" s="48">
        <f t="shared" si="4"/>
        <v>-75.60000000000001</v>
      </c>
      <c r="K14" s="46">
        <f t="shared" si="4"/>
        <v>126.49999999999997</v>
      </c>
      <c r="L14" s="47">
        <f t="shared" si="4"/>
        <v>197.70000000000002</v>
      </c>
      <c r="M14" s="47">
        <f t="shared" si="4"/>
        <v>223.3</v>
      </c>
      <c r="N14" s="48">
        <f t="shared" si="4"/>
        <v>161.79999999999998</v>
      </c>
      <c r="O14" s="46">
        <f t="shared" si="4"/>
        <v>208.29999999999995</v>
      </c>
      <c r="P14" s="47">
        <f t="shared" si="4"/>
        <v>172.09999999999997</v>
      </c>
      <c r="Q14" s="47">
        <f t="shared" si="4"/>
        <v>186.79999999999998</v>
      </c>
      <c r="R14" s="48">
        <f t="shared" si="4"/>
        <v>168.50000000000003</v>
      </c>
      <c r="S14" s="46">
        <f t="shared" si="4"/>
        <v>189.5</v>
      </c>
      <c r="T14" s="47">
        <f t="shared" si="4"/>
        <v>181.39999999999998</v>
      </c>
      <c r="U14" s="47">
        <f t="shared" si="4"/>
        <v>190.59999999999997</v>
      </c>
      <c r="V14" s="48">
        <f t="shared" si="4"/>
        <v>205.79999999999995</v>
      </c>
      <c r="W14" s="46">
        <f t="shared" si="4"/>
        <v>268.19999999999993</v>
      </c>
      <c r="X14" s="47">
        <f aca="true" t="shared" si="5" ref="X14:AG14">X5-X10</f>
        <v>227.80000000000004</v>
      </c>
      <c r="Y14" s="260">
        <f t="shared" si="5"/>
        <v>217.8</v>
      </c>
      <c r="Z14" s="261">
        <f t="shared" si="5"/>
        <v>216.29999999999995</v>
      </c>
      <c r="AA14" s="46">
        <f t="shared" si="5"/>
        <v>264.4</v>
      </c>
      <c r="AB14" s="47">
        <f t="shared" si="5"/>
        <v>239.20000000000005</v>
      </c>
      <c r="AC14" s="260">
        <f>AC5-AC10</f>
        <v>231.3</v>
      </c>
      <c r="AD14" s="261">
        <f>AD5-AD10</f>
        <v>224.5</v>
      </c>
      <c r="AE14" s="47">
        <f>AE5-AE10</f>
        <v>247.8</v>
      </c>
      <c r="AF14" s="260">
        <f>AF5-AF10</f>
        <v>239.79999999999995</v>
      </c>
      <c r="AG14" s="260">
        <f t="shared" si="5"/>
        <v>236.49999999999997</v>
      </c>
      <c r="AH14" s="264"/>
      <c r="AI14" s="264"/>
      <c r="AJ14" s="87"/>
      <c r="AK14" s="87"/>
      <c r="AL14" s="87"/>
      <c r="AM14" s="87"/>
      <c r="AN14" s="87"/>
      <c r="AO14" s="87"/>
      <c r="AP14" s="266"/>
      <c r="AQ14" s="87"/>
      <c r="AR14" s="87"/>
    </row>
    <row r="15" spans="1:44" s="9" customFormat="1" ht="12.75">
      <c r="A15" s="90" t="s">
        <v>207</v>
      </c>
      <c r="B15" s="90" t="s">
        <v>433</v>
      </c>
      <c r="C15" s="39">
        <v>-3.9</v>
      </c>
      <c r="D15" s="40">
        <v>-16.3</v>
      </c>
      <c r="E15" s="40">
        <v>-39.4</v>
      </c>
      <c r="F15" s="40">
        <v>-3.6</v>
      </c>
      <c r="G15" s="39">
        <v>3.3</v>
      </c>
      <c r="H15" s="40">
        <v>-64.8</v>
      </c>
      <c r="I15" s="40">
        <v>2.3</v>
      </c>
      <c r="J15" s="41">
        <v>96.4</v>
      </c>
      <c r="K15" s="39">
        <v>78.9</v>
      </c>
      <c r="L15" s="40">
        <v>67</v>
      </c>
      <c r="M15" s="40">
        <v>32.7</v>
      </c>
      <c r="N15" s="41">
        <v>62</v>
      </c>
      <c r="O15" s="39">
        <v>26.9</v>
      </c>
      <c r="P15" s="40">
        <v>26.2</v>
      </c>
      <c r="Q15" s="40">
        <v>33.8</v>
      </c>
      <c r="R15" s="41">
        <v>35.6</v>
      </c>
      <c r="S15" s="39">
        <v>23.2</v>
      </c>
      <c r="T15" s="40">
        <v>16.5</v>
      </c>
      <c r="U15" s="40">
        <v>6.1</v>
      </c>
      <c r="V15" s="41">
        <v>36.4</v>
      </c>
      <c r="W15" s="39">
        <v>45.1</v>
      </c>
      <c r="X15" s="40">
        <v>106</v>
      </c>
      <c r="Y15" s="68">
        <v>61.1</v>
      </c>
      <c r="Z15" s="69">
        <v>60.5</v>
      </c>
      <c r="AA15" s="39">
        <v>20</v>
      </c>
      <c r="AB15" s="40">
        <v>28.7</v>
      </c>
      <c r="AC15" s="68">
        <v>30.7</v>
      </c>
      <c r="AD15" s="69">
        <v>59.4</v>
      </c>
      <c r="AE15" s="40">
        <v>47.4</v>
      </c>
      <c r="AF15" s="68">
        <v>22.7</v>
      </c>
      <c r="AG15" s="68">
        <v>52</v>
      </c>
      <c r="AH15" s="264"/>
      <c r="AI15" s="264"/>
      <c r="AJ15" s="87"/>
      <c r="AK15" s="87"/>
      <c r="AL15" s="87"/>
      <c r="AM15" s="87"/>
      <c r="AN15" s="87"/>
      <c r="AO15" s="87"/>
      <c r="AP15" s="266"/>
      <c r="AQ15" s="87"/>
      <c r="AR15" s="87"/>
    </row>
    <row r="16" spans="1:44" s="9" customFormat="1" ht="29.25" customHeight="1">
      <c r="A16" s="99" t="s">
        <v>393</v>
      </c>
      <c r="B16" s="99" t="s">
        <v>434</v>
      </c>
      <c r="C16" s="94">
        <f>C14-C15</f>
        <v>100.30000000000001</v>
      </c>
      <c r="D16" s="95">
        <f aca="true" t="shared" si="6" ref="D16:X16">D14-D15</f>
        <v>102.8</v>
      </c>
      <c r="E16" s="95">
        <f t="shared" si="6"/>
        <v>130.60000000000005</v>
      </c>
      <c r="F16" s="95">
        <f t="shared" si="6"/>
        <v>65.80000000000001</v>
      </c>
      <c r="G16" s="94">
        <f t="shared" si="6"/>
        <v>148.6</v>
      </c>
      <c r="H16" s="95">
        <f t="shared" si="6"/>
        <v>199.8</v>
      </c>
      <c r="I16" s="95">
        <f t="shared" si="6"/>
        <v>117.80000000000003</v>
      </c>
      <c r="J16" s="95">
        <f t="shared" si="6"/>
        <v>-172</v>
      </c>
      <c r="K16" s="94">
        <f t="shared" si="6"/>
        <v>47.599999999999966</v>
      </c>
      <c r="L16" s="95">
        <f t="shared" si="6"/>
        <v>130.70000000000002</v>
      </c>
      <c r="M16" s="95">
        <f t="shared" si="6"/>
        <v>190.60000000000002</v>
      </c>
      <c r="N16" s="95">
        <f t="shared" si="6"/>
        <v>99.79999999999998</v>
      </c>
      <c r="O16" s="94">
        <f t="shared" si="6"/>
        <v>181.39999999999995</v>
      </c>
      <c r="P16" s="95">
        <f t="shared" si="6"/>
        <v>145.89999999999998</v>
      </c>
      <c r="Q16" s="95">
        <f t="shared" si="6"/>
        <v>153</v>
      </c>
      <c r="R16" s="95">
        <f t="shared" si="6"/>
        <v>132.90000000000003</v>
      </c>
      <c r="S16" s="94">
        <f t="shared" si="6"/>
        <v>166.3</v>
      </c>
      <c r="T16" s="95">
        <f t="shared" si="6"/>
        <v>164.89999999999998</v>
      </c>
      <c r="U16" s="95">
        <f t="shared" si="6"/>
        <v>184.49999999999997</v>
      </c>
      <c r="V16" s="95">
        <f t="shared" si="6"/>
        <v>169.39999999999995</v>
      </c>
      <c r="W16" s="94">
        <f t="shared" si="6"/>
        <v>223.09999999999994</v>
      </c>
      <c r="X16" s="95">
        <f t="shared" si="6"/>
        <v>121.80000000000004</v>
      </c>
      <c r="Y16" s="95">
        <f aca="true" t="shared" si="7" ref="Y16:AG16">Y14-Y15</f>
        <v>156.70000000000002</v>
      </c>
      <c r="Z16" s="96">
        <f t="shared" si="7"/>
        <v>155.79999999999995</v>
      </c>
      <c r="AA16" s="94">
        <f t="shared" si="7"/>
        <v>244.39999999999998</v>
      </c>
      <c r="AB16" s="95">
        <f t="shared" si="7"/>
        <v>210.50000000000006</v>
      </c>
      <c r="AC16" s="95">
        <f t="shared" si="7"/>
        <v>200.60000000000002</v>
      </c>
      <c r="AD16" s="96">
        <f>AD14-AD15</f>
        <v>165.1</v>
      </c>
      <c r="AE16" s="95">
        <f>AE14-AE15</f>
        <v>200.4</v>
      </c>
      <c r="AF16" s="95">
        <f>AF14-AF15</f>
        <v>217.09999999999997</v>
      </c>
      <c r="AG16" s="95">
        <f t="shared" si="7"/>
        <v>184.49999999999997</v>
      </c>
      <c r="AH16" s="264"/>
      <c r="AI16" s="264"/>
      <c r="AJ16" s="87"/>
      <c r="AK16" s="87"/>
      <c r="AL16" s="87"/>
      <c r="AM16" s="87"/>
      <c r="AN16" s="87"/>
      <c r="AO16" s="87"/>
      <c r="AP16" s="266"/>
      <c r="AQ16" s="87"/>
      <c r="AR16" s="87"/>
    </row>
    <row r="17" spans="1:35" ht="18" customHeight="1">
      <c r="A17" s="14"/>
      <c r="B17" s="14"/>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4"/>
      <c r="AI17" s="24"/>
    </row>
    <row r="18" spans="1:35" ht="12.75">
      <c r="A18" s="25" t="s">
        <v>208</v>
      </c>
      <c r="B18" s="25" t="s">
        <v>48</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row>
  </sheetData>
  <sheetProtection/>
  <mergeCells count="10">
    <mergeCell ref="AE2:AG2"/>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AS41"/>
  <sheetViews>
    <sheetView showGridLines="0" view="pageBreakPreview" zoomScaleSheetLayoutView="100" zoomScalePageLayoutView="80" workbookViewId="0" topLeftCell="A1">
      <pane xSplit="2" ySplit="4" topLeftCell="I5" activePane="bottomRight" state="frozen"/>
      <selection pane="topLeft" activeCell="B1" sqref="B1"/>
      <selection pane="topRight" activeCell="C1" sqref="C1"/>
      <selection pane="bottomLeft" activeCell="B5" sqref="B5"/>
      <selection pane="bottomRight" activeCell="A2" sqref="A2:A3"/>
    </sheetView>
  </sheetViews>
  <sheetFormatPr defaultColWidth="9.00390625" defaultRowHeight="12.75" outlineLevelCol="1"/>
  <cols>
    <col min="1" max="1" width="46.875" style="2" customWidth="1"/>
    <col min="2" max="2" width="48.125" style="2" hidden="1" customWidth="1" outlineLevel="1"/>
    <col min="3" max="3" width="5.50390625" style="3" bestFit="1" customWidth="1" collapsed="1"/>
    <col min="4" max="28" width="5.50390625" style="3" bestFit="1" customWidth="1"/>
    <col min="29" max="32" width="5.50390625" style="3" customWidth="1"/>
    <col min="33" max="33" width="5.50390625" style="3" bestFit="1" customWidth="1"/>
    <col min="34" max="38" width="9.375" style="3" customWidth="1"/>
    <col min="39" max="39" width="12.00390625" style="3" customWidth="1"/>
    <col min="40" max="42" width="8.875" style="3" customWidth="1"/>
    <col min="43" max="44" width="10.50390625" style="3" customWidth="1"/>
    <col min="45" max="45" width="8.875" style="3" customWidth="1"/>
    <col min="46" max="16384" width="8.875" style="3" customWidth="1"/>
  </cols>
  <sheetData>
    <row r="1" spans="1:2" ht="12.75">
      <c r="A1" s="259" t="s">
        <v>585</v>
      </c>
      <c r="B1" s="259" t="s">
        <v>586</v>
      </c>
    </row>
    <row r="2" spans="1:38" ht="12.75">
      <c r="A2" s="343" t="s">
        <v>202</v>
      </c>
      <c r="B2" s="343" t="s">
        <v>45</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2"/>
      <c r="AA2" s="340">
        <v>2013</v>
      </c>
      <c r="AB2" s="341"/>
      <c r="AC2" s="341"/>
      <c r="AD2" s="342"/>
      <c r="AE2" s="340">
        <v>2014</v>
      </c>
      <c r="AF2" s="341"/>
      <c r="AG2" s="341"/>
      <c r="AH2" s="262"/>
      <c r="AI2" s="262"/>
      <c r="AJ2" s="262"/>
      <c r="AK2" s="262"/>
      <c r="AL2" s="262"/>
    </row>
    <row r="3" spans="1:38" s="4" customFormat="1" ht="33.75" customHeight="1">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6" t="s">
        <v>183</v>
      </c>
      <c r="AA3" s="34" t="s">
        <v>180</v>
      </c>
      <c r="AB3" s="35" t="s">
        <v>181</v>
      </c>
      <c r="AC3" s="35" t="s">
        <v>182</v>
      </c>
      <c r="AD3" s="36" t="s">
        <v>183</v>
      </c>
      <c r="AE3" s="35" t="s">
        <v>180</v>
      </c>
      <c r="AF3" s="35" t="s">
        <v>181</v>
      </c>
      <c r="AG3" s="35" t="s">
        <v>182</v>
      </c>
      <c r="AH3" s="35"/>
      <c r="AI3" s="35"/>
      <c r="AJ3" s="35"/>
      <c r="AK3" s="35"/>
      <c r="AL3" s="35"/>
    </row>
    <row r="4" spans="1:39" s="4" customFormat="1" ht="12.75">
      <c r="A4" s="20" t="s">
        <v>185</v>
      </c>
      <c r="B4" s="20" t="s">
        <v>12</v>
      </c>
      <c r="C4" s="16"/>
      <c r="D4" s="5"/>
      <c r="E4" s="5"/>
      <c r="F4" s="5"/>
      <c r="G4" s="16"/>
      <c r="H4" s="5"/>
      <c r="I4" s="5"/>
      <c r="J4" s="18"/>
      <c r="K4" s="16"/>
      <c r="L4" s="5"/>
      <c r="M4" s="5"/>
      <c r="N4" s="18"/>
      <c r="O4" s="16"/>
      <c r="P4" s="5"/>
      <c r="Q4" s="5"/>
      <c r="R4" s="18"/>
      <c r="S4" s="16"/>
      <c r="T4" s="5"/>
      <c r="U4" s="5"/>
      <c r="V4" s="18"/>
      <c r="W4" s="16"/>
      <c r="X4" s="5"/>
      <c r="Y4" s="5"/>
      <c r="Z4" s="18"/>
      <c r="AA4" s="16"/>
      <c r="AB4" s="5"/>
      <c r="AC4" s="5"/>
      <c r="AD4" s="18"/>
      <c r="AE4" s="5"/>
      <c r="AF4" s="5"/>
      <c r="AG4" s="5"/>
      <c r="AH4" s="263"/>
      <c r="AI4" s="263"/>
      <c r="AJ4" s="263"/>
      <c r="AK4" s="263"/>
      <c r="AL4" s="263"/>
      <c r="AM4" s="263"/>
    </row>
    <row r="5" spans="1:45" s="7" customFormat="1" ht="12.75">
      <c r="A5" s="37" t="s">
        <v>203</v>
      </c>
      <c r="B5" s="37" t="s">
        <v>46</v>
      </c>
      <c r="C5" s="46">
        <f>SUM(C6:C9)</f>
        <v>319.965538225127</v>
      </c>
      <c r="D5" s="47">
        <f aca="true" t="shared" si="0" ref="D5:Y5">SUM(D6:D9)</f>
        <v>309.365538225127</v>
      </c>
      <c r="E5" s="47">
        <f t="shared" si="0"/>
        <v>320.56553822512706</v>
      </c>
      <c r="F5" s="47">
        <f t="shared" si="0"/>
        <v>280.665538225127</v>
      </c>
      <c r="G5" s="46">
        <f t="shared" si="0"/>
        <v>297.4580087857276</v>
      </c>
      <c r="H5" s="47">
        <f t="shared" si="0"/>
        <v>352.3580087857276</v>
      </c>
      <c r="I5" s="47">
        <f t="shared" si="0"/>
        <v>342.8580087857275</v>
      </c>
      <c r="J5" s="48">
        <f t="shared" si="0"/>
        <v>269.4580087857275</v>
      </c>
      <c r="K5" s="46">
        <f t="shared" si="0"/>
        <v>298.38504180498364</v>
      </c>
      <c r="L5" s="47">
        <f t="shared" si="0"/>
        <v>353.9850418049836</v>
      </c>
      <c r="M5" s="47">
        <f t="shared" si="0"/>
        <v>341.1850418049836</v>
      </c>
      <c r="N5" s="48">
        <f t="shared" si="0"/>
        <v>306.88504180498364</v>
      </c>
      <c r="O5" s="46">
        <f t="shared" si="0"/>
        <v>308.766170791478</v>
      </c>
      <c r="P5" s="47">
        <f t="shared" si="0"/>
        <v>361.06617079147793</v>
      </c>
      <c r="Q5" s="47">
        <f>SUM(Q6:Q9)</f>
        <v>370.566170791478</v>
      </c>
      <c r="R5" s="48">
        <f t="shared" si="0"/>
        <v>386.66617079147795</v>
      </c>
      <c r="S5" s="46">
        <f t="shared" si="0"/>
        <v>389.24726417014944</v>
      </c>
      <c r="T5" s="47">
        <f t="shared" si="0"/>
        <v>401.5472641701495</v>
      </c>
      <c r="U5" s="47">
        <f t="shared" si="0"/>
        <v>376.34726417014946</v>
      </c>
      <c r="V5" s="48">
        <f t="shared" si="0"/>
        <v>377.6472641701495</v>
      </c>
      <c r="W5" s="46">
        <f t="shared" si="0"/>
        <v>398.7639051193459</v>
      </c>
      <c r="X5" s="47">
        <f t="shared" si="0"/>
        <v>393.0639051193458</v>
      </c>
      <c r="Y5" s="260">
        <f t="shared" si="0"/>
        <v>395.6639051193458</v>
      </c>
      <c r="Z5" s="261">
        <f aca="true" t="shared" si="1" ref="Z5:AG5">SUM(Z6:Z9)</f>
        <v>377.3639051193459</v>
      </c>
      <c r="AA5" s="46">
        <f t="shared" si="1"/>
        <v>417.1</v>
      </c>
      <c r="AB5" s="47">
        <f t="shared" si="1"/>
        <v>392.40000000000003</v>
      </c>
      <c r="AC5" s="260">
        <f t="shared" si="1"/>
        <v>400.20000000000005</v>
      </c>
      <c r="AD5" s="261">
        <f t="shared" si="1"/>
        <v>421.8</v>
      </c>
      <c r="AE5" s="47">
        <f>SUM(AE6:AE9)</f>
        <v>455.3</v>
      </c>
      <c r="AF5" s="260">
        <f>SUM(AF6:AF9)</f>
        <v>471.1</v>
      </c>
      <c r="AG5" s="260">
        <f t="shared" si="1"/>
        <v>466.90000000000003</v>
      </c>
      <c r="AH5" s="264"/>
      <c r="AI5" s="264"/>
      <c r="AJ5" s="264"/>
      <c r="AK5" s="264"/>
      <c r="AL5" s="264"/>
      <c r="AM5" s="264"/>
      <c r="AN5" s="87"/>
      <c r="AO5" s="87"/>
      <c r="AP5" s="87"/>
      <c r="AQ5" s="87"/>
      <c r="AR5" s="87"/>
      <c r="AS5" s="87"/>
    </row>
    <row r="6" spans="1:45" s="4" customFormat="1" ht="12.75">
      <c r="A6" s="88" t="s">
        <v>188</v>
      </c>
      <c r="B6" s="88" t="s">
        <v>425</v>
      </c>
      <c r="C6" s="39">
        <v>138</v>
      </c>
      <c r="D6" s="40">
        <v>144.3</v>
      </c>
      <c r="E6" s="40">
        <v>148.8</v>
      </c>
      <c r="F6" s="40">
        <v>153.8</v>
      </c>
      <c r="G6" s="39">
        <v>154.3</v>
      </c>
      <c r="H6" s="40">
        <v>146</v>
      </c>
      <c r="I6" s="40">
        <v>170.6</v>
      </c>
      <c r="J6" s="41">
        <v>112</v>
      </c>
      <c r="K6" s="39">
        <v>123</v>
      </c>
      <c r="L6" s="40">
        <v>213</v>
      </c>
      <c r="M6" s="40">
        <v>153.1</v>
      </c>
      <c r="N6" s="41">
        <v>153</v>
      </c>
      <c r="O6" s="39">
        <v>178</v>
      </c>
      <c r="P6" s="40">
        <v>202.2</v>
      </c>
      <c r="Q6" s="40">
        <v>199.1</v>
      </c>
      <c r="R6" s="41">
        <v>236.5</v>
      </c>
      <c r="S6" s="39">
        <v>238.3</v>
      </c>
      <c r="T6" s="40">
        <v>245.8</v>
      </c>
      <c r="U6" s="40">
        <v>233.9</v>
      </c>
      <c r="V6" s="41">
        <v>236.9</v>
      </c>
      <c r="W6" s="39">
        <v>244.1</v>
      </c>
      <c r="X6" s="40">
        <v>255.1</v>
      </c>
      <c r="Y6" s="68">
        <v>265.5</v>
      </c>
      <c r="Z6" s="69">
        <v>238.8</v>
      </c>
      <c r="AA6" s="67">
        <f>228.9+1.6</f>
        <v>230.5</v>
      </c>
      <c r="AB6" s="40">
        <v>249.5</v>
      </c>
      <c r="AC6" s="68">
        <v>271.3</v>
      </c>
      <c r="AD6" s="41">
        <v>280.2</v>
      </c>
      <c r="AE6" s="40">
        <v>308.1</v>
      </c>
      <c r="AF6" s="68">
        <v>330.5</v>
      </c>
      <c r="AG6" s="68">
        <v>342.6</v>
      </c>
      <c r="AH6" s="264"/>
      <c r="AI6" s="264"/>
      <c r="AJ6" s="264"/>
      <c r="AK6" s="264"/>
      <c r="AL6" s="264"/>
      <c r="AM6" s="264"/>
      <c r="AN6" s="87"/>
      <c r="AO6" s="87"/>
      <c r="AP6" s="87"/>
      <c r="AQ6" s="87"/>
      <c r="AR6" s="87"/>
      <c r="AS6" s="87"/>
    </row>
    <row r="7" spans="1:45" s="7" customFormat="1" ht="12.75">
      <c r="A7" s="88" t="s">
        <v>191</v>
      </c>
      <c r="B7" s="88" t="s">
        <v>426</v>
      </c>
      <c r="C7" s="39">
        <v>130.16553822512702</v>
      </c>
      <c r="D7" s="40">
        <v>136.56553822512703</v>
      </c>
      <c r="E7" s="40">
        <v>135.06553822512703</v>
      </c>
      <c r="F7" s="40">
        <v>124.46553822512702</v>
      </c>
      <c r="G7" s="39">
        <v>124.25800878572755</v>
      </c>
      <c r="H7" s="40">
        <v>146.15800878572756</v>
      </c>
      <c r="I7" s="40">
        <v>140.75800878572755</v>
      </c>
      <c r="J7" s="41">
        <v>189.35800878572755</v>
      </c>
      <c r="K7" s="39">
        <v>146.78504180498365</v>
      </c>
      <c r="L7" s="40">
        <v>149.58504180498363</v>
      </c>
      <c r="M7" s="40">
        <v>159.78504180498365</v>
      </c>
      <c r="N7" s="41">
        <v>88.38504180498366</v>
      </c>
      <c r="O7" s="39">
        <v>117.26617079147796</v>
      </c>
      <c r="P7" s="40">
        <v>159.16617079147795</v>
      </c>
      <c r="Q7" s="40">
        <v>160.86617079147797</v>
      </c>
      <c r="R7" s="41">
        <v>96.46617079147796</v>
      </c>
      <c r="S7" s="39">
        <v>130.8472641701495</v>
      </c>
      <c r="T7" s="40">
        <v>127.44726417014948</v>
      </c>
      <c r="U7" s="40">
        <v>122.34726417014949</v>
      </c>
      <c r="V7" s="41">
        <v>123.34726417014949</v>
      </c>
      <c r="W7" s="39">
        <v>117.76390511934585</v>
      </c>
      <c r="X7" s="40">
        <v>116.06390511934585</v>
      </c>
      <c r="Y7" s="68">
        <v>118.16390511934586</v>
      </c>
      <c r="Z7" s="69">
        <v>120.76390511934585</v>
      </c>
      <c r="AA7" s="67">
        <v>107.5</v>
      </c>
      <c r="AB7" s="40">
        <v>114.1</v>
      </c>
      <c r="AC7" s="68">
        <v>98</v>
      </c>
      <c r="AD7" s="41">
        <v>118.9</v>
      </c>
      <c r="AE7" s="40">
        <v>122.6</v>
      </c>
      <c r="AF7" s="68">
        <v>123.4</v>
      </c>
      <c r="AG7" s="68">
        <v>98.2</v>
      </c>
      <c r="AH7" s="264"/>
      <c r="AI7" s="264"/>
      <c r="AJ7" s="264"/>
      <c r="AK7" s="264"/>
      <c r="AL7" s="264"/>
      <c r="AM7" s="264"/>
      <c r="AN7" s="87"/>
      <c r="AO7" s="87"/>
      <c r="AP7" s="87"/>
      <c r="AQ7" s="87"/>
      <c r="AR7" s="87"/>
      <c r="AS7" s="87"/>
    </row>
    <row r="8" spans="1:45" s="7" customFormat="1" ht="12.75">
      <c r="A8" s="38" t="s">
        <v>204</v>
      </c>
      <c r="B8" s="38" t="s">
        <v>427</v>
      </c>
      <c r="C8" s="39">
        <v>39.4</v>
      </c>
      <c r="D8" s="40">
        <v>17.6</v>
      </c>
      <c r="E8" s="40">
        <v>27.1</v>
      </c>
      <c r="F8" s="40">
        <v>-8.3</v>
      </c>
      <c r="G8" s="39">
        <v>7.3</v>
      </c>
      <c r="H8" s="40">
        <v>46</v>
      </c>
      <c r="I8" s="40">
        <v>18.5</v>
      </c>
      <c r="J8" s="41">
        <v>-41.3</v>
      </c>
      <c r="K8" s="39">
        <v>18.5</v>
      </c>
      <c r="L8" s="40">
        <v>-24.1</v>
      </c>
      <c r="M8" s="40">
        <v>17.9</v>
      </c>
      <c r="N8" s="41">
        <v>49.4</v>
      </c>
      <c r="O8" s="39">
        <v>6.2</v>
      </c>
      <c r="P8" s="40">
        <v>-11.2</v>
      </c>
      <c r="Q8" s="40">
        <v>0</v>
      </c>
      <c r="R8" s="41">
        <v>41.3</v>
      </c>
      <c r="S8" s="39">
        <v>10.4</v>
      </c>
      <c r="T8" s="40">
        <f>15.1</f>
        <v>15.1</v>
      </c>
      <c r="U8" s="40">
        <v>11.9</v>
      </c>
      <c r="V8" s="41">
        <v>7.3</v>
      </c>
      <c r="W8" s="39">
        <v>30.1</v>
      </c>
      <c r="X8" s="40">
        <v>10.7</v>
      </c>
      <c r="Y8" s="68">
        <v>4.3999999999999995</v>
      </c>
      <c r="Z8" s="69">
        <v>7.7</v>
      </c>
      <c r="AA8" s="67">
        <v>70.1</v>
      </c>
      <c r="AB8" s="40">
        <v>21</v>
      </c>
      <c r="AC8" s="68">
        <v>21.6</v>
      </c>
      <c r="AD8" s="41">
        <v>10.7</v>
      </c>
      <c r="AE8" s="40">
        <v>13.4</v>
      </c>
      <c r="AF8" s="68">
        <v>16.1</v>
      </c>
      <c r="AG8" s="68">
        <v>26.1</v>
      </c>
      <c r="AH8" s="264"/>
      <c r="AI8" s="264"/>
      <c r="AJ8" s="264"/>
      <c r="AK8" s="264"/>
      <c r="AL8" s="264"/>
      <c r="AM8" s="264"/>
      <c r="AN8" s="87"/>
      <c r="AO8" s="87"/>
      <c r="AP8" s="87"/>
      <c r="AQ8" s="87"/>
      <c r="AR8" s="87"/>
      <c r="AS8" s="87"/>
    </row>
    <row r="9" spans="1:45" s="4" customFormat="1" ht="20.25">
      <c r="A9" s="88" t="s">
        <v>205</v>
      </c>
      <c r="B9" s="88" t="s">
        <v>428</v>
      </c>
      <c r="C9" s="39">
        <v>12.4</v>
      </c>
      <c r="D9" s="40">
        <v>10.9</v>
      </c>
      <c r="E9" s="40">
        <v>9.6</v>
      </c>
      <c r="F9" s="40">
        <v>10.7</v>
      </c>
      <c r="G9" s="39">
        <v>11.6</v>
      </c>
      <c r="H9" s="40">
        <v>14.2</v>
      </c>
      <c r="I9" s="40">
        <v>13</v>
      </c>
      <c r="J9" s="41">
        <v>9.4</v>
      </c>
      <c r="K9" s="39">
        <v>10.1</v>
      </c>
      <c r="L9" s="40">
        <v>15.5</v>
      </c>
      <c r="M9" s="40">
        <v>10.4</v>
      </c>
      <c r="N9" s="41">
        <v>16.1</v>
      </c>
      <c r="O9" s="39">
        <v>7.3</v>
      </c>
      <c r="P9" s="40">
        <v>10.9</v>
      </c>
      <c r="Q9" s="40">
        <v>10.6</v>
      </c>
      <c r="R9" s="41">
        <v>12.4</v>
      </c>
      <c r="S9" s="39">
        <v>9.7</v>
      </c>
      <c r="T9" s="40">
        <v>13.2</v>
      </c>
      <c r="U9" s="40">
        <v>8.2</v>
      </c>
      <c r="V9" s="41">
        <v>10.1</v>
      </c>
      <c r="W9" s="39">
        <v>6.8</v>
      </c>
      <c r="X9" s="40">
        <v>11.2</v>
      </c>
      <c r="Y9" s="68">
        <v>7.6</v>
      </c>
      <c r="Z9" s="69">
        <v>10.1</v>
      </c>
      <c r="AA9" s="67">
        <v>9</v>
      </c>
      <c r="AB9" s="40">
        <v>7.8</v>
      </c>
      <c r="AC9" s="68">
        <v>9.3</v>
      </c>
      <c r="AD9" s="41">
        <v>12</v>
      </c>
      <c r="AE9" s="40">
        <v>11.2</v>
      </c>
      <c r="AF9" s="68">
        <v>1.1</v>
      </c>
      <c r="AG9" s="68">
        <v>0</v>
      </c>
      <c r="AH9" s="264"/>
      <c r="AI9" s="264"/>
      <c r="AJ9" s="264"/>
      <c r="AK9" s="264"/>
      <c r="AL9" s="264"/>
      <c r="AM9" s="264"/>
      <c r="AN9" s="87"/>
      <c r="AO9" s="87"/>
      <c r="AP9" s="87"/>
      <c r="AQ9" s="87"/>
      <c r="AR9" s="87"/>
      <c r="AS9" s="87"/>
    </row>
    <row r="10" spans="1:45" s="9" customFormat="1" ht="12.75">
      <c r="A10" s="98" t="s">
        <v>206</v>
      </c>
      <c r="B10" s="98" t="s">
        <v>47</v>
      </c>
      <c r="C10" s="46">
        <f>SUM(C11:C13)</f>
        <v>213.26553822512702</v>
      </c>
      <c r="D10" s="47">
        <f aca="true" t="shared" si="2" ref="D10:Y10">SUM(D11:D13)</f>
        <v>218.66553822512702</v>
      </c>
      <c r="E10" s="47">
        <f t="shared" si="2"/>
        <v>226.36553822512704</v>
      </c>
      <c r="F10" s="47">
        <f t="shared" si="2"/>
        <v>224.765538225127</v>
      </c>
      <c r="G10" s="46">
        <f t="shared" si="2"/>
        <v>234.35800878572752</v>
      </c>
      <c r="H10" s="47">
        <f t="shared" si="2"/>
        <v>251.55800878572754</v>
      </c>
      <c r="I10" s="47">
        <f t="shared" si="2"/>
        <v>250.45800878572754</v>
      </c>
      <c r="J10" s="48">
        <f t="shared" si="2"/>
        <v>228.55800878572757</v>
      </c>
      <c r="K10" s="46">
        <f t="shared" si="2"/>
        <v>230.28504180498365</v>
      </c>
      <c r="L10" s="47">
        <f t="shared" si="2"/>
        <v>249.18504180498365</v>
      </c>
      <c r="M10" s="47">
        <f t="shared" si="2"/>
        <v>253.38504180498364</v>
      </c>
      <c r="N10" s="48">
        <f t="shared" si="2"/>
        <v>234.18504180498365</v>
      </c>
      <c r="O10" s="46">
        <f t="shared" si="2"/>
        <v>249.46617079147796</v>
      </c>
      <c r="P10" s="47">
        <f t="shared" si="2"/>
        <v>257.766170791478</v>
      </c>
      <c r="Q10" s="47">
        <f t="shared" si="2"/>
        <v>264.86617079147794</v>
      </c>
      <c r="R10" s="48">
        <f t="shared" si="2"/>
        <v>252.96617079147796</v>
      </c>
      <c r="S10" s="46">
        <f t="shared" si="2"/>
        <v>254.5472641701495</v>
      </c>
      <c r="T10" s="47">
        <f t="shared" si="2"/>
        <v>255.2472641701495</v>
      </c>
      <c r="U10" s="47">
        <f t="shared" si="2"/>
        <v>263.2472641701495</v>
      </c>
      <c r="V10" s="48">
        <f t="shared" si="2"/>
        <v>249.04726417014948</v>
      </c>
      <c r="W10" s="46">
        <f t="shared" si="2"/>
        <v>285.0639051193458</v>
      </c>
      <c r="X10" s="47">
        <f t="shared" si="2"/>
        <v>282.3639051193459</v>
      </c>
      <c r="Y10" s="260">
        <f t="shared" si="2"/>
        <v>278.1639051193458</v>
      </c>
      <c r="Z10" s="261">
        <f aca="true" t="shared" si="3" ref="Z10:AG10">SUM(Z11:Z13)</f>
        <v>270.4639051193459</v>
      </c>
      <c r="AA10" s="311">
        <f t="shared" si="3"/>
        <v>299.5</v>
      </c>
      <c r="AB10" s="47">
        <f t="shared" si="3"/>
        <v>294.5</v>
      </c>
      <c r="AC10" s="260">
        <f t="shared" si="3"/>
        <v>279.2</v>
      </c>
      <c r="AD10" s="48">
        <f t="shared" si="3"/>
        <v>257.7</v>
      </c>
      <c r="AE10" s="47">
        <f>SUM(AE11:AE13)</f>
        <v>290.5</v>
      </c>
      <c r="AF10" s="260">
        <f>SUM(AF11:AF13)</f>
        <v>293.7</v>
      </c>
      <c r="AG10" s="260">
        <f t="shared" si="3"/>
        <v>295.6</v>
      </c>
      <c r="AH10" s="264"/>
      <c r="AI10" s="264"/>
      <c r="AJ10" s="264"/>
      <c r="AK10" s="264"/>
      <c r="AL10" s="264"/>
      <c r="AM10" s="264"/>
      <c r="AN10" s="87"/>
      <c r="AO10" s="87"/>
      <c r="AP10" s="87"/>
      <c r="AQ10" s="87"/>
      <c r="AR10" s="87"/>
      <c r="AS10" s="87"/>
    </row>
    <row r="11" spans="1:45" s="9" customFormat="1" ht="12.75">
      <c r="A11" s="90" t="s">
        <v>395</v>
      </c>
      <c r="B11" s="90" t="s">
        <v>429</v>
      </c>
      <c r="C11" s="39">
        <v>98.3</v>
      </c>
      <c r="D11" s="40">
        <v>106.9</v>
      </c>
      <c r="E11" s="40">
        <v>110.9</v>
      </c>
      <c r="F11" s="40">
        <v>123.5</v>
      </c>
      <c r="G11" s="39">
        <v>111.2</v>
      </c>
      <c r="H11" s="40">
        <v>112.5</v>
      </c>
      <c r="I11" s="40">
        <v>129</v>
      </c>
      <c r="J11" s="41">
        <v>122.2</v>
      </c>
      <c r="K11" s="39">
        <v>98.4</v>
      </c>
      <c r="L11" s="40">
        <v>108.8</v>
      </c>
      <c r="M11" s="40">
        <v>110.5</v>
      </c>
      <c r="N11" s="41">
        <v>121.1</v>
      </c>
      <c r="O11" s="39">
        <v>109.7</v>
      </c>
      <c r="P11" s="40">
        <v>113.8</v>
      </c>
      <c r="Q11" s="40">
        <v>123.4</v>
      </c>
      <c r="R11" s="41">
        <v>151.2</v>
      </c>
      <c r="S11" s="39">
        <v>121</v>
      </c>
      <c r="T11" s="40">
        <v>117.2</v>
      </c>
      <c r="U11" s="40">
        <v>122</v>
      </c>
      <c r="V11" s="41">
        <v>124.7</v>
      </c>
      <c r="W11" s="39">
        <v>128.7</v>
      </c>
      <c r="X11" s="40">
        <v>126.4</v>
      </c>
      <c r="Y11" s="68">
        <v>125</v>
      </c>
      <c r="Z11" s="69">
        <v>131.4</v>
      </c>
      <c r="AA11" s="67">
        <v>127.8</v>
      </c>
      <c r="AB11" s="40">
        <v>128.4</v>
      </c>
      <c r="AC11" s="68">
        <v>129.9</v>
      </c>
      <c r="AD11" s="41">
        <v>153.6</v>
      </c>
      <c r="AE11" s="40">
        <v>129.7</v>
      </c>
      <c r="AF11" s="68">
        <v>136.6</v>
      </c>
      <c r="AG11" s="68">
        <v>132.7</v>
      </c>
      <c r="AH11" s="264"/>
      <c r="AI11" s="264"/>
      <c r="AJ11" s="264"/>
      <c r="AK11" s="264"/>
      <c r="AL11" s="264"/>
      <c r="AM11" s="264"/>
      <c r="AN11" s="87"/>
      <c r="AO11" s="87"/>
      <c r="AP11" s="87"/>
      <c r="AQ11" s="87"/>
      <c r="AR11" s="87"/>
      <c r="AS11" s="87"/>
    </row>
    <row r="12" spans="1:45" s="7" customFormat="1" ht="12.75">
      <c r="A12" s="88" t="s">
        <v>396</v>
      </c>
      <c r="B12" s="88" t="s">
        <v>430</v>
      </c>
      <c r="C12" s="39">
        <v>22</v>
      </c>
      <c r="D12" s="40">
        <v>23</v>
      </c>
      <c r="E12" s="40">
        <v>22.3</v>
      </c>
      <c r="F12" s="40">
        <v>31.2</v>
      </c>
      <c r="G12" s="39">
        <v>25</v>
      </c>
      <c r="H12" s="40">
        <v>25.6</v>
      </c>
      <c r="I12" s="40">
        <v>24.8</v>
      </c>
      <c r="J12" s="41">
        <v>24.1</v>
      </c>
      <c r="K12" s="39">
        <v>23.3</v>
      </c>
      <c r="L12" s="40">
        <v>24.3</v>
      </c>
      <c r="M12" s="40">
        <v>23.4</v>
      </c>
      <c r="N12" s="41">
        <v>23.5</v>
      </c>
      <c r="O12" s="39">
        <v>21.6</v>
      </c>
      <c r="P12" s="40">
        <v>22</v>
      </c>
      <c r="Q12" s="40">
        <v>22.2</v>
      </c>
      <c r="R12" s="41">
        <v>23.8</v>
      </c>
      <c r="S12" s="39">
        <v>21.8</v>
      </c>
      <c r="T12" s="40">
        <v>22.1</v>
      </c>
      <c r="U12" s="40">
        <v>24.5</v>
      </c>
      <c r="V12" s="41">
        <v>25</v>
      </c>
      <c r="W12" s="39">
        <v>24</v>
      </c>
      <c r="X12" s="40">
        <v>24.8</v>
      </c>
      <c r="Y12" s="68">
        <v>25.3</v>
      </c>
      <c r="Z12" s="69">
        <v>30.3</v>
      </c>
      <c r="AA12" s="67">
        <v>28.6</v>
      </c>
      <c r="AB12" s="40">
        <v>28.5</v>
      </c>
      <c r="AC12" s="68">
        <v>27.5</v>
      </c>
      <c r="AD12" s="41">
        <v>31.3</v>
      </c>
      <c r="AE12" s="40">
        <v>26</v>
      </c>
      <c r="AF12" s="68">
        <v>26.4</v>
      </c>
      <c r="AG12" s="68">
        <v>27.1</v>
      </c>
      <c r="AH12" s="264"/>
      <c r="AI12" s="264"/>
      <c r="AJ12" s="264"/>
      <c r="AK12" s="264"/>
      <c r="AL12" s="264"/>
      <c r="AM12" s="264"/>
      <c r="AN12" s="87"/>
      <c r="AO12" s="87"/>
      <c r="AP12" s="87"/>
      <c r="AQ12" s="87"/>
      <c r="AR12" s="87"/>
      <c r="AS12" s="87"/>
    </row>
    <row r="13" spans="1:45" s="9" customFormat="1" ht="12.75">
      <c r="A13" s="88" t="s">
        <v>397</v>
      </c>
      <c r="B13" s="88" t="s">
        <v>431</v>
      </c>
      <c r="C13" s="39">
        <v>92.96553822512702</v>
      </c>
      <c r="D13" s="40">
        <v>88.76553822512702</v>
      </c>
      <c r="E13" s="40">
        <v>93.16553822512702</v>
      </c>
      <c r="F13" s="40">
        <v>70.06553822512701</v>
      </c>
      <c r="G13" s="39">
        <v>98.15800878572755</v>
      </c>
      <c r="H13" s="40">
        <v>113.45800878572754</v>
      </c>
      <c r="I13" s="40">
        <v>96.65800878572755</v>
      </c>
      <c r="J13" s="41">
        <v>82.25800878572755</v>
      </c>
      <c r="K13" s="39">
        <v>108.58504180498365</v>
      </c>
      <c r="L13" s="40">
        <v>116.08504180498365</v>
      </c>
      <c r="M13" s="40">
        <v>119.48504180498365</v>
      </c>
      <c r="N13" s="41">
        <v>89.58504180498365</v>
      </c>
      <c r="O13" s="39">
        <v>118.16617079147795</v>
      </c>
      <c r="P13" s="40">
        <v>121.96617079147796</v>
      </c>
      <c r="Q13" s="40">
        <v>119.26617079147796</v>
      </c>
      <c r="R13" s="41">
        <v>77.96617079147796</v>
      </c>
      <c r="S13" s="39">
        <v>111.74726417014949</v>
      </c>
      <c r="T13" s="40">
        <v>115.94726417014948</v>
      </c>
      <c r="U13" s="40">
        <v>116.74726417014948</v>
      </c>
      <c r="V13" s="41">
        <v>99.34726417014949</v>
      </c>
      <c r="W13" s="39">
        <v>132.36390511934584</v>
      </c>
      <c r="X13" s="40">
        <v>131.16390511934583</v>
      </c>
      <c r="Y13" s="68">
        <v>127.86390511934584</v>
      </c>
      <c r="Z13" s="69">
        <v>108.76390511934585</v>
      </c>
      <c r="AA13" s="67">
        <v>143.1</v>
      </c>
      <c r="AB13" s="40">
        <v>137.6</v>
      </c>
      <c r="AC13" s="68">
        <v>121.8</v>
      </c>
      <c r="AD13" s="41">
        <v>72.8</v>
      </c>
      <c r="AE13" s="40">
        <v>134.8</v>
      </c>
      <c r="AF13" s="68">
        <v>130.7</v>
      </c>
      <c r="AG13" s="68">
        <v>135.8</v>
      </c>
      <c r="AH13" s="264"/>
      <c r="AI13" s="264"/>
      <c r="AJ13" s="264"/>
      <c r="AK13" s="264"/>
      <c r="AL13" s="264"/>
      <c r="AM13" s="264"/>
      <c r="AN13" s="87"/>
      <c r="AO13" s="87"/>
      <c r="AP13" s="87"/>
      <c r="AQ13" s="87"/>
      <c r="AR13" s="87"/>
      <c r="AS13" s="87"/>
    </row>
    <row r="14" spans="1:45" s="9" customFormat="1" ht="12.75">
      <c r="A14" s="89" t="s">
        <v>392</v>
      </c>
      <c r="B14" s="89" t="s">
        <v>432</v>
      </c>
      <c r="C14" s="46">
        <f>C5-C10</f>
        <v>106.69999999999996</v>
      </c>
      <c r="D14" s="47">
        <f aca="true" t="shared" si="4" ref="D14:Y14">D5-D10</f>
        <v>90.69999999999999</v>
      </c>
      <c r="E14" s="47">
        <f t="shared" si="4"/>
        <v>94.20000000000002</v>
      </c>
      <c r="F14" s="47">
        <f t="shared" si="4"/>
        <v>55.900000000000034</v>
      </c>
      <c r="G14" s="46">
        <f t="shared" si="4"/>
        <v>63.10000000000008</v>
      </c>
      <c r="H14" s="47">
        <f t="shared" si="4"/>
        <v>100.80000000000004</v>
      </c>
      <c r="I14" s="47">
        <f t="shared" si="4"/>
        <v>92.39999999999998</v>
      </c>
      <c r="J14" s="48">
        <f t="shared" si="4"/>
        <v>40.89999999999992</v>
      </c>
      <c r="K14" s="46">
        <f t="shared" si="4"/>
        <v>68.1</v>
      </c>
      <c r="L14" s="47">
        <f t="shared" si="4"/>
        <v>104.79999999999995</v>
      </c>
      <c r="M14" s="47">
        <f t="shared" si="4"/>
        <v>87.79999999999995</v>
      </c>
      <c r="N14" s="48">
        <f t="shared" si="4"/>
        <v>72.69999999999999</v>
      </c>
      <c r="O14" s="46">
        <f t="shared" si="4"/>
        <v>59.30000000000001</v>
      </c>
      <c r="P14" s="47">
        <f t="shared" si="4"/>
        <v>103.29999999999995</v>
      </c>
      <c r="Q14" s="47">
        <f t="shared" si="4"/>
        <v>105.70000000000005</v>
      </c>
      <c r="R14" s="48">
        <f t="shared" si="4"/>
        <v>133.7</v>
      </c>
      <c r="S14" s="46">
        <f t="shared" si="4"/>
        <v>134.69999999999993</v>
      </c>
      <c r="T14" s="47">
        <f t="shared" si="4"/>
        <v>146.3</v>
      </c>
      <c r="U14" s="47">
        <f t="shared" si="4"/>
        <v>113.09999999999997</v>
      </c>
      <c r="V14" s="48">
        <f t="shared" si="4"/>
        <v>128.60000000000005</v>
      </c>
      <c r="W14" s="46">
        <f t="shared" si="4"/>
        <v>113.7000000000001</v>
      </c>
      <c r="X14" s="47">
        <f t="shared" si="4"/>
        <v>110.69999999999993</v>
      </c>
      <c r="Y14" s="260">
        <f t="shared" si="4"/>
        <v>117.5</v>
      </c>
      <c r="Z14" s="261">
        <f aca="true" t="shared" si="5" ref="Z14:AG14">Z5-Z10</f>
        <v>106.89999999999998</v>
      </c>
      <c r="AA14" s="46">
        <f t="shared" si="5"/>
        <v>117.60000000000002</v>
      </c>
      <c r="AB14" s="47">
        <f t="shared" si="5"/>
        <v>97.90000000000003</v>
      </c>
      <c r="AC14" s="260">
        <f t="shared" si="5"/>
        <v>121.00000000000006</v>
      </c>
      <c r="AD14" s="261">
        <f t="shared" si="5"/>
        <v>164.10000000000002</v>
      </c>
      <c r="AE14" s="47">
        <f>AE5-AE10</f>
        <v>164.8</v>
      </c>
      <c r="AF14" s="260">
        <f>AF5-AF10</f>
        <v>177.40000000000003</v>
      </c>
      <c r="AG14" s="260">
        <f t="shared" si="5"/>
        <v>171.3</v>
      </c>
      <c r="AH14" s="264"/>
      <c r="AI14" s="264"/>
      <c r="AJ14" s="264"/>
      <c r="AK14" s="264"/>
      <c r="AL14" s="264"/>
      <c r="AM14" s="264"/>
      <c r="AN14" s="87"/>
      <c r="AO14" s="87"/>
      <c r="AP14" s="87"/>
      <c r="AQ14" s="87"/>
      <c r="AR14" s="87"/>
      <c r="AS14" s="87"/>
    </row>
    <row r="15" spans="1:45" s="9" customFormat="1" ht="12.75">
      <c r="A15" s="90" t="s">
        <v>207</v>
      </c>
      <c r="B15" s="90" t="s">
        <v>433</v>
      </c>
      <c r="C15" s="39">
        <v>-2.4</v>
      </c>
      <c r="D15" s="40">
        <v>-10.4</v>
      </c>
      <c r="E15" s="40">
        <v>-25</v>
      </c>
      <c r="F15" s="40">
        <v>-2.2</v>
      </c>
      <c r="G15" s="39">
        <v>-2.6</v>
      </c>
      <c r="H15" s="40">
        <v>6</v>
      </c>
      <c r="I15" s="40">
        <v>4.9</v>
      </c>
      <c r="J15" s="41">
        <v>20.1</v>
      </c>
      <c r="K15" s="39">
        <v>12.8</v>
      </c>
      <c r="L15" s="40">
        <v>6.8</v>
      </c>
      <c r="M15" s="40">
        <v>21.4</v>
      </c>
      <c r="N15" s="41">
        <v>22.8</v>
      </c>
      <c r="O15" s="39">
        <v>21.2</v>
      </c>
      <c r="P15" s="40">
        <v>13</v>
      </c>
      <c r="Q15" s="40">
        <v>21.3</v>
      </c>
      <c r="R15" s="41">
        <v>25.6</v>
      </c>
      <c r="S15" s="39">
        <v>33.9</v>
      </c>
      <c r="T15" s="40">
        <v>21.2</v>
      </c>
      <c r="U15" s="40">
        <v>21</v>
      </c>
      <c r="V15" s="41">
        <v>14.1</v>
      </c>
      <c r="W15" s="39">
        <v>19.2</v>
      </c>
      <c r="X15" s="40">
        <v>25.2</v>
      </c>
      <c r="Y15" s="68">
        <v>21.5</v>
      </c>
      <c r="Z15" s="69">
        <v>24.2</v>
      </c>
      <c r="AA15" s="39">
        <v>38</v>
      </c>
      <c r="AB15" s="40">
        <v>40.4</v>
      </c>
      <c r="AC15" s="68">
        <v>33</v>
      </c>
      <c r="AD15" s="69">
        <v>17</v>
      </c>
      <c r="AE15" s="40">
        <v>36.7</v>
      </c>
      <c r="AF15" s="68">
        <v>10.6</v>
      </c>
      <c r="AG15" s="68">
        <v>13.2</v>
      </c>
      <c r="AH15" s="264"/>
      <c r="AI15" s="264"/>
      <c r="AJ15" s="264"/>
      <c r="AK15" s="264"/>
      <c r="AL15" s="264"/>
      <c r="AM15" s="264"/>
      <c r="AN15" s="87"/>
      <c r="AO15" s="87"/>
      <c r="AP15" s="87"/>
      <c r="AQ15" s="87"/>
      <c r="AR15" s="87"/>
      <c r="AS15" s="87"/>
    </row>
    <row r="16" spans="1:45" s="9" customFormat="1" ht="24" customHeight="1">
      <c r="A16" s="99" t="s">
        <v>393</v>
      </c>
      <c r="B16" s="99" t="s">
        <v>434</v>
      </c>
      <c r="C16" s="94">
        <f>C14-C15</f>
        <v>109.09999999999997</v>
      </c>
      <c r="D16" s="95">
        <f aca="true" t="shared" si="6" ref="D16:Y16">D14-D15</f>
        <v>101.1</v>
      </c>
      <c r="E16" s="95">
        <f t="shared" si="6"/>
        <v>119.20000000000002</v>
      </c>
      <c r="F16" s="95">
        <f t="shared" si="6"/>
        <v>58.10000000000004</v>
      </c>
      <c r="G16" s="94">
        <f t="shared" si="6"/>
        <v>65.70000000000007</v>
      </c>
      <c r="H16" s="95">
        <f t="shared" si="6"/>
        <v>94.80000000000004</v>
      </c>
      <c r="I16" s="95">
        <f t="shared" si="6"/>
        <v>87.49999999999997</v>
      </c>
      <c r="J16" s="95">
        <f t="shared" si="6"/>
        <v>20.79999999999992</v>
      </c>
      <c r="K16" s="94">
        <f t="shared" si="6"/>
        <v>55.3</v>
      </c>
      <c r="L16" s="95">
        <f t="shared" si="6"/>
        <v>97.99999999999996</v>
      </c>
      <c r="M16" s="95">
        <f t="shared" si="6"/>
        <v>66.39999999999995</v>
      </c>
      <c r="N16" s="95">
        <f t="shared" si="6"/>
        <v>49.89999999999999</v>
      </c>
      <c r="O16" s="94">
        <f t="shared" si="6"/>
        <v>38.10000000000001</v>
      </c>
      <c r="P16" s="95">
        <f t="shared" si="6"/>
        <v>90.29999999999995</v>
      </c>
      <c r="Q16" s="95">
        <f t="shared" si="6"/>
        <v>84.40000000000005</v>
      </c>
      <c r="R16" s="95">
        <f t="shared" si="6"/>
        <v>108.1</v>
      </c>
      <c r="S16" s="94">
        <f t="shared" si="6"/>
        <v>100.79999999999993</v>
      </c>
      <c r="T16" s="95">
        <f t="shared" si="6"/>
        <v>125.10000000000001</v>
      </c>
      <c r="U16" s="95">
        <f t="shared" si="6"/>
        <v>92.09999999999997</v>
      </c>
      <c r="V16" s="95">
        <f t="shared" si="6"/>
        <v>114.50000000000006</v>
      </c>
      <c r="W16" s="94">
        <f t="shared" si="6"/>
        <v>94.5000000000001</v>
      </c>
      <c r="X16" s="95">
        <f t="shared" si="6"/>
        <v>85.49999999999993</v>
      </c>
      <c r="Y16" s="95">
        <f t="shared" si="6"/>
        <v>96</v>
      </c>
      <c r="Z16" s="96">
        <f aca="true" t="shared" si="7" ref="Z16:AG16">Z14-Z15</f>
        <v>82.69999999999997</v>
      </c>
      <c r="AA16" s="94">
        <f t="shared" si="7"/>
        <v>79.60000000000002</v>
      </c>
      <c r="AB16" s="95">
        <f t="shared" si="7"/>
        <v>57.500000000000036</v>
      </c>
      <c r="AC16" s="95">
        <f t="shared" si="7"/>
        <v>88.00000000000006</v>
      </c>
      <c r="AD16" s="96">
        <f t="shared" si="7"/>
        <v>147.10000000000002</v>
      </c>
      <c r="AE16" s="95">
        <f>AE14-AE15</f>
        <v>128.10000000000002</v>
      </c>
      <c r="AF16" s="95">
        <f>AF14-AF15</f>
        <v>166.80000000000004</v>
      </c>
      <c r="AG16" s="95">
        <f t="shared" si="7"/>
        <v>158.10000000000002</v>
      </c>
      <c r="AH16" s="264"/>
      <c r="AI16" s="264"/>
      <c r="AJ16" s="264"/>
      <c r="AK16" s="264"/>
      <c r="AL16" s="264"/>
      <c r="AM16" s="264"/>
      <c r="AN16" s="87"/>
      <c r="AO16" s="87"/>
      <c r="AP16" s="87"/>
      <c r="AQ16" s="87"/>
      <c r="AR16" s="87"/>
      <c r="AS16" s="87"/>
    </row>
    <row r="17" spans="1:39" ht="12.75">
      <c r="A17" s="14"/>
      <c r="B17" s="14"/>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4"/>
      <c r="AI17" s="24"/>
      <c r="AJ17" s="24"/>
      <c r="AK17" s="24"/>
      <c r="AL17" s="24"/>
      <c r="AM17" s="24"/>
    </row>
    <row r="18" spans="1:39" ht="12.75">
      <c r="A18" s="25" t="s">
        <v>208</v>
      </c>
      <c r="B18" s="25" t="s">
        <v>48</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row>
    <row r="20" spans="1:2" ht="12.75">
      <c r="A20" s="3"/>
      <c r="B20" s="3"/>
    </row>
    <row r="21" spans="1:2" ht="12.75">
      <c r="A21" s="3"/>
      <c r="B21" s="3"/>
    </row>
    <row r="22" spans="1:2" ht="12.75">
      <c r="A22" s="3"/>
      <c r="B22" s="3"/>
    </row>
    <row r="23" spans="1:2" ht="12.75">
      <c r="A23" s="3"/>
      <c r="B23" s="3"/>
    </row>
    <row r="24" spans="1:2" ht="12.75">
      <c r="A24" s="3"/>
      <c r="B24" s="3"/>
    </row>
    <row r="25" spans="1:2" ht="12.75">
      <c r="A25" s="3"/>
      <c r="B25" s="3"/>
    </row>
    <row r="26" spans="1:2" ht="12.75">
      <c r="A26" s="3"/>
      <c r="B26" s="3"/>
    </row>
    <row r="27" spans="1:2" ht="12.75">
      <c r="A27" s="3"/>
      <c r="B27" s="3"/>
    </row>
    <row r="28" spans="1:2" ht="12.75">
      <c r="A28" s="3"/>
      <c r="B28" s="3"/>
    </row>
    <row r="29" spans="1:2" ht="12.75">
      <c r="A29" s="3"/>
      <c r="B29" s="3"/>
    </row>
    <row r="30" spans="1:2" ht="12.75">
      <c r="A30" s="3"/>
      <c r="B30" s="3"/>
    </row>
    <row r="31" spans="1:2" ht="12.75">
      <c r="A31" s="3"/>
      <c r="B31" s="3"/>
    </row>
    <row r="32" spans="1:2" ht="12.75">
      <c r="A32" s="3"/>
      <c r="B32" s="3"/>
    </row>
    <row r="33" spans="1:2" ht="12.75">
      <c r="A33" s="3"/>
      <c r="B33" s="3"/>
    </row>
    <row r="34" spans="1:2" ht="12.75">
      <c r="A34" s="3"/>
      <c r="B34" s="3"/>
    </row>
    <row r="35" spans="1:2" ht="12.75">
      <c r="A35" s="3"/>
      <c r="B35" s="3"/>
    </row>
    <row r="36" spans="1:2" ht="12.75">
      <c r="A36" s="3"/>
      <c r="B36" s="3"/>
    </row>
    <row r="37" spans="1:2" ht="12.75">
      <c r="A37" s="3"/>
      <c r="B37" s="3"/>
    </row>
    <row r="38" spans="1:2" ht="12.75">
      <c r="A38" s="3"/>
      <c r="B38" s="3"/>
    </row>
    <row r="39" spans="1:2" ht="12.75">
      <c r="A39" s="3"/>
      <c r="B39" s="3"/>
    </row>
    <row r="40" spans="1:2" ht="12.75">
      <c r="A40" s="3"/>
      <c r="B40" s="3"/>
    </row>
    <row r="41" spans="1:2" ht="12.75">
      <c r="A41" s="3"/>
      <c r="B41" s="3"/>
    </row>
  </sheetData>
  <sheetProtection/>
  <mergeCells count="10">
    <mergeCell ref="AE2:AG2"/>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AM56"/>
  <sheetViews>
    <sheetView showGridLines="0" view="pageBreakPreview" zoomScaleSheetLayoutView="100" zoomScalePageLayoutView="80" workbookViewId="0" topLeftCell="A1">
      <pane xSplit="2" ySplit="3" topLeftCell="F4" activePane="bottomRight" state="frozen"/>
      <selection pane="topLeft" activeCell="B1" sqref="B1"/>
      <selection pane="topRight" activeCell="C1" sqref="C1"/>
      <selection pane="bottomLeft" activeCell="B4" sqref="B4"/>
      <selection pane="bottomRight" activeCell="A2" sqref="A2:A3"/>
    </sheetView>
  </sheetViews>
  <sheetFormatPr defaultColWidth="9.00390625" defaultRowHeight="12.75" outlineLevelCol="1"/>
  <cols>
    <col min="1" max="1" width="45.625" style="2" customWidth="1"/>
    <col min="2" max="2" width="49.875" style="2" hidden="1" customWidth="1" outlineLevel="1"/>
    <col min="3" max="3" width="4.875" style="3" bestFit="1" customWidth="1" collapsed="1"/>
    <col min="4" max="26" width="4.875" style="3" bestFit="1" customWidth="1"/>
    <col min="27" max="27" width="5.625" style="3" bestFit="1" customWidth="1"/>
    <col min="28" max="33" width="5.50390625" style="3" bestFit="1" customWidth="1"/>
    <col min="34" max="16384" width="8.875" style="3" customWidth="1"/>
  </cols>
  <sheetData>
    <row r="1" spans="1:8" s="4" customFormat="1" ht="12.75">
      <c r="A1" s="259" t="s">
        <v>585</v>
      </c>
      <c r="B1" s="259" t="s">
        <v>586</v>
      </c>
      <c r="H1" s="251"/>
    </row>
    <row r="2" spans="1:33" ht="12.75">
      <c r="A2" s="343" t="s">
        <v>188</v>
      </c>
      <c r="B2" s="343" t="s">
        <v>2</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2"/>
      <c r="AA2" s="340">
        <v>2013</v>
      </c>
      <c r="AB2" s="341"/>
      <c r="AC2" s="341"/>
      <c r="AD2" s="342"/>
      <c r="AE2" s="340">
        <v>2014</v>
      </c>
      <c r="AF2" s="341"/>
      <c r="AG2" s="341"/>
    </row>
    <row r="3" spans="1:36" s="4" customFormat="1" ht="12.75">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6" t="s">
        <v>183</v>
      </c>
      <c r="AA3" s="34" t="s">
        <v>180</v>
      </c>
      <c r="AB3" s="35" t="s">
        <v>181</v>
      </c>
      <c r="AC3" s="35" t="s">
        <v>182</v>
      </c>
      <c r="AD3" s="36" t="s">
        <v>183</v>
      </c>
      <c r="AE3" s="34" t="s">
        <v>180</v>
      </c>
      <c r="AF3" s="35" t="s">
        <v>181</v>
      </c>
      <c r="AG3" s="35" t="s">
        <v>182</v>
      </c>
      <c r="AI3" s="7"/>
      <c r="AJ3" s="7"/>
    </row>
    <row r="4" spans="1:36" s="4" customFormat="1" ht="12.75" customHeight="1">
      <c r="A4" s="20" t="s">
        <v>185</v>
      </c>
      <c r="B4" s="20" t="s">
        <v>12</v>
      </c>
      <c r="C4" s="16"/>
      <c r="D4" s="6"/>
      <c r="E4" s="5"/>
      <c r="F4" s="6"/>
      <c r="G4" s="16"/>
      <c r="H4" s="6"/>
      <c r="I4" s="5"/>
      <c r="J4" s="17"/>
      <c r="K4" s="16"/>
      <c r="L4" s="6"/>
      <c r="M4" s="5"/>
      <c r="N4" s="17"/>
      <c r="O4" s="16"/>
      <c r="P4" s="6"/>
      <c r="Q4" s="5"/>
      <c r="R4" s="17"/>
      <c r="S4" s="16"/>
      <c r="T4" s="6"/>
      <c r="U4" s="5"/>
      <c r="V4" s="17"/>
      <c r="W4" s="16"/>
      <c r="X4" s="5"/>
      <c r="Y4" s="5"/>
      <c r="Z4" s="18"/>
      <c r="AA4" s="16"/>
      <c r="AB4" s="5"/>
      <c r="AC4" s="5"/>
      <c r="AD4" s="18"/>
      <c r="AE4" s="16"/>
      <c r="AF4" s="5"/>
      <c r="AG4" s="18"/>
      <c r="AI4" s="7"/>
      <c r="AJ4" s="7"/>
    </row>
    <row r="5" spans="1:33" s="7" customFormat="1" ht="12.75">
      <c r="A5" s="37" t="s">
        <v>251</v>
      </c>
      <c r="B5" s="37" t="s">
        <v>51</v>
      </c>
      <c r="C5" s="39"/>
      <c r="D5" s="40"/>
      <c r="E5" s="40"/>
      <c r="F5" s="40"/>
      <c r="G5" s="39"/>
      <c r="H5" s="40"/>
      <c r="I5" s="40"/>
      <c r="J5" s="41"/>
      <c r="K5" s="39"/>
      <c r="L5" s="40"/>
      <c r="M5" s="40"/>
      <c r="N5" s="41"/>
      <c r="O5" s="39"/>
      <c r="P5" s="40"/>
      <c r="Q5" s="40"/>
      <c r="R5" s="41"/>
      <c r="S5" s="39"/>
      <c r="T5" s="40"/>
      <c r="U5" s="40"/>
      <c r="V5" s="41"/>
      <c r="W5" s="39"/>
      <c r="X5" s="40"/>
      <c r="Y5" s="40"/>
      <c r="Z5" s="41"/>
      <c r="AA5" s="39"/>
      <c r="AB5" s="40"/>
      <c r="AC5" s="40"/>
      <c r="AD5" s="41"/>
      <c r="AE5" s="39"/>
      <c r="AF5" s="40"/>
      <c r="AG5" s="41"/>
    </row>
    <row r="6" spans="1:39" s="7" customFormat="1" ht="12.75">
      <c r="A6" s="88" t="s">
        <v>252</v>
      </c>
      <c r="B6" s="88" t="s">
        <v>52</v>
      </c>
      <c r="C6" s="39">
        <v>196.4</v>
      </c>
      <c r="D6" s="40">
        <v>219.2</v>
      </c>
      <c r="E6" s="40">
        <v>237</v>
      </c>
      <c r="F6" s="40">
        <v>220.2</v>
      </c>
      <c r="G6" s="39">
        <v>214.6</v>
      </c>
      <c r="H6" s="40">
        <v>176.10000000000002</v>
      </c>
      <c r="I6" s="40">
        <v>143</v>
      </c>
      <c r="J6" s="41">
        <v>139.2</v>
      </c>
      <c r="K6" s="39">
        <v>66.6</v>
      </c>
      <c r="L6" s="40">
        <v>39</v>
      </c>
      <c r="M6" s="40">
        <v>31.2</v>
      </c>
      <c r="N6" s="41">
        <v>32.2</v>
      </c>
      <c r="O6" s="39">
        <v>24.2</v>
      </c>
      <c r="P6" s="40">
        <v>29.9</v>
      </c>
      <c r="Q6" s="40">
        <v>21.7</v>
      </c>
      <c r="R6" s="41">
        <v>23.5</v>
      </c>
      <c r="S6" s="39">
        <v>26.3</v>
      </c>
      <c r="T6" s="40">
        <v>29.8</v>
      </c>
      <c r="U6" s="40">
        <v>30.2</v>
      </c>
      <c r="V6" s="41">
        <v>41.9</v>
      </c>
      <c r="W6" s="39">
        <f>26.8-26.8+26.9</f>
        <v>26.9</v>
      </c>
      <c r="X6" s="40">
        <f>30.4-30.4+31</f>
        <v>31</v>
      </c>
      <c r="Y6" s="40">
        <v>37.4</v>
      </c>
      <c r="Z6" s="41">
        <v>40.5</v>
      </c>
      <c r="AA6" s="39">
        <v>27.8</v>
      </c>
      <c r="AB6" s="40">
        <v>25.3</v>
      </c>
      <c r="AC6" s="40">
        <v>23.8</v>
      </c>
      <c r="AD6" s="41">
        <v>28.5</v>
      </c>
      <c r="AE6" s="39">
        <v>28.7</v>
      </c>
      <c r="AF6" s="40">
        <v>23.8</v>
      </c>
      <c r="AG6" s="41">
        <v>22.3</v>
      </c>
      <c r="AH6" s="87"/>
      <c r="AK6" s="87"/>
      <c r="AL6" s="87"/>
      <c r="AM6" s="87"/>
    </row>
    <row r="7" spans="1:39" s="7" customFormat="1" ht="20.25">
      <c r="A7" s="88" t="s">
        <v>253</v>
      </c>
      <c r="B7" s="88" t="s">
        <v>559</v>
      </c>
      <c r="C7" s="39">
        <v>193.10000000000002</v>
      </c>
      <c r="D7" s="40">
        <v>216.6</v>
      </c>
      <c r="E7" s="40">
        <v>237.50000000000003</v>
      </c>
      <c r="F7" s="40">
        <v>277.4</v>
      </c>
      <c r="G7" s="39">
        <v>305.2</v>
      </c>
      <c r="H7" s="40">
        <v>353.2</v>
      </c>
      <c r="I7" s="40">
        <v>404.20000000000005</v>
      </c>
      <c r="J7" s="41">
        <v>438.7</v>
      </c>
      <c r="K7" s="39">
        <v>423.4</v>
      </c>
      <c r="L7" s="40">
        <v>419.3</v>
      </c>
      <c r="M7" s="40">
        <v>412.00000000000006</v>
      </c>
      <c r="N7" s="41">
        <v>404.7</v>
      </c>
      <c r="O7" s="39">
        <v>424.2</v>
      </c>
      <c r="P7" s="40">
        <v>431.40000000000003</v>
      </c>
      <c r="Q7" s="40">
        <v>461.7</v>
      </c>
      <c r="R7" s="41">
        <v>479.2</v>
      </c>
      <c r="S7" s="39">
        <v>497.1</v>
      </c>
      <c r="T7" s="40">
        <v>546.6</v>
      </c>
      <c r="U7" s="40">
        <v>608.3</v>
      </c>
      <c r="V7" s="41">
        <v>635.1</v>
      </c>
      <c r="W7" s="39">
        <v>707.7</v>
      </c>
      <c r="X7" s="40">
        <v>732.9999999999999</v>
      </c>
      <c r="Y7" s="40">
        <v>742.2</v>
      </c>
      <c r="Z7" s="41">
        <v>736.2</v>
      </c>
      <c r="AA7" s="39">
        <v>685.3</v>
      </c>
      <c r="AB7" s="40">
        <f>677.5-8.7</f>
        <v>668.8</v>
      </c>
      <c r="AC7" s="40">
        <v>666.8</v>
      </c>
      <c r="AD7" s="41">
        <v>672.7</v>
      </c>
      <c r="AE7" s="39">
        <v>674.4</v>
      </c>
      <c r="AF7" s="40">
        <v>698.5</v>
      </c>
      <c r="AG7" s="41">
        <v>727.4</v>
      </c>
      <c r="AH7" s="87"/>
      <c r="AI7" s="4"/>
      <c r="AJ7" s="4"/>
      <c r="AK7" s="87"/>
      <c r="AL7" s="87"/>
      <c r="AM7" s="87"/>
    </row>
    <row r="8" spans="1:39" s="7" customFormat="1" ht="12.75">
      <c r="A8" s="106" t="s">
        <v>572</v>
      </c>
      <c r="B8" s="106" t="s">
        <v>560</v>
      </c>
      <c r="C8" s="57">
        <v>0</v>
      </c>
      <c r="D8" s="58">
        <v>0</v>
      </c>
      <c r="E8" s="58">
        <v>0</v>
      </c>
      <c r="F8" s="58">
        <v>0</v>
      </c>
      <c r="G8" s="57">
        <v>0</v>
      </c>
      <c r="H8" s="58">
        <v>0</v>
      </c>
      <c r="I8" s="58">
        <v>0</v>
      </c>
      <c r="J8" s="59">
        <v>0</v>
      </c>
      <c r="K8" s="57">
        <v>0</v>
      </c>
      <c r="L8" s="58">
        <v>0</v>
      </c>
      <c r="M8" s="58">
        <v>0</v>
      </c>
      <c r="N8" s="59">
        <v>0</v>
      </c>
      <c r="O8" s="57">
        <v>0</v>
      </c>
      <c r="P8" s="58">
        <v>0</v>
      </c>
      <c r="Q8" s="58">
        <v>0</v>
      </c>
      <c r="R8" s="59">
        <v>0</v>
      </c>
      <c r="S8" s="57">
        <v>0</v>
      </c>
      <c r="T8" s="58">
        <v>0</v>
      </c>
      <c r="U8" s="58">
        <v>0</v>
      </c>
      <c r="V8" s="59">
        <v>0</v>
      </c>
      <c r="W8" s="57">
        <f>41.9-41.9+42.1</f>
        <v>42.1</v>
      </c>
      <c r="X8" s="58">
        <f>42.2-42.2+42.8</f>
        <v>42.8</v>
      </c>
      <c r="Y8" s="58">
        <f>43.6-43.6+44</f>
        <v>44</v>
      </c>
      <c r="Z8" s="59">
        <v>39.2</v>
      </c>
      <c r="AA8" s="57">
        <v>40.2</v>
      </c>
      <c r="AB8" s="58">
        <v>37.8</v>
      </c>
      <c r="AC8" s="58">
        <v>37.2</v>
      </c>
      <c r="AD8" s="59">
        <v>39.5</v>
      </c>
      <c r="AE8" s="57">
        <v>39.3</v>
      </c>
      <c r="AF8" s="58">
        <v>42.1</v>
      </c>
      <c r="AG8" s="59">
        <v>44.5</v>
      </c>
      <c r="AH8" s="87"/>
      <c r="AI8" s="4"/>
      <c r="AJ8" s="4"/>
      <c r="AK8" s="87"/>
      <c r="AL8" s="87"/>
      <c r="AM8" s="87"/>
    </row>
    <row r="9" spans="1:39" s="4" customFormat="1" ht="12.75">
      <c r="A9" s="107" t="s">
        <v>573</v>
      </c>
      <c r="B9" s="107" t="s">
        <v>571</v>
      </c>
      <c r="C9" s="57">
        <v>1.8</v>
      </c>
      <c r="D9" s="58">
        <v>2</v>
      </c>
      <c r="E9" s="58">
        <v>1.8</v>
      </c>
      <c r="F9" s="58">
        <v>1.9</v>
      </c>
      <c r="G9" s="57">
        <v>2</v>
      </c>
      <c r="H9" s="58">
        <v>2.8</v>
      </c>
      <c r="I9" s="58">
        <v>2.8</v>
      </c>
      <c r="J9" s="59">
        <v>2.3</v>
      </c>
      <c r="K9" s="57">
        <v>1.4</v>
      </c>
      <c r="L9" s="58">
        <v>1.3</v>
      </c>
      <c r="M9" s="58">
        <v>1.6</v>
      </c>
      <c r="N9" s="59">
        <v>2</v>
      </c>
      <c r="O9" s="57">
        <v>2.2</v>
      </c>
      <c r="P9" s="58">
        <v>2.2</v>
      </c>
      <c r="Q9" s="58">
        <v>2.3</v>
      </c>
      <c r="R9" s="59">
        <v>2.4</v>
      </c>
      <c r="S9" s="57">
        <v>1.8</v>
      </c>
      <c r="T9" s="58">
        <v>2.3</v>
      </c>
      <c r="U9" s="58">
        <v>3.3</v>
      </c>
      <c r="V9" s="59">
        <v>3.8</v>
      </c>
      <c r="W9" s="57">
        <f>22-22+23.9</f>
        <v>23.9</v>
      </c>
      <c r="X9" s="58">
        <f>24-24+25.8</f>
        <v>25.8</v>
      </c>
      <c r="Y9" s="58">
        <f>24-24+26.2</f>
        <v>26.2</v>
      </c>
      <c r="Z9" s="59">
        <v>27.1</v>
      </c>
      <c r="AA9" s="57">
        <v>22</v>
      </c>
      <c r="AB9" s="58">
        <v>20.3</v>
      </c>
      <c r="AC9" s="58">
        <v>20.8</v>
      </c>
      <c r="AD9" s="59">
        <v>22.7</v>
      </c>
      <c r="AE9" s="57">
        <v>21.3</v>
      </c>
      <c r="AF9" s="58">
        <v>23.2</v>
      </c>
      <c r="AG9" s="59">
        <v>23.6</v>
      </c>
      <c r="AH9" s="87"/>
      <c r="AI9" s="7"/>
      <c r="AJ9" s="7"/>
      <c r="AK9" s="87"/>
      <c r="AL9" s="87"/>
      <c r="AM9" s="87"/>
    </row>
    <row r="10" spans="1:39" s="4" customFormat="1" ht="12.75">
      <c r="A10" s="38" t="s">
        <v>574</v>
      </c>
      <c r="B10" s="38" t="s">
        <v>588</v>
      </c>
      <c r="C10" s="39">
        <v>0</v>
      </c>
      <c r="D10" s="40">
        <v>0</v>
      </c>
      <c r="E10" s="40">
        <v>0</v>
      </c>
      <c r="F10" s="40">
        <v>0</v>
      </c>
      <c r="G10" s="39">
        <v>0</v>
      </c>
      <c r="H10" s="40">
        <v>0</v>
      </c>
      <c r="I10" s="40">
        <v>0</v>
      </c>
      <c r="J10" s="41">
        <v>0</v>
      </c>
      <c r="K10" s="39">
        <v>0</v>
      </c>
      <c r="L10" s="40">
        <v>0</v>
      </c>
      <c r="M10" s="40">
        <v>0</v>
      </c>
      <c r="N10" s="41">
        <v>0</v>
      </c>
      <c r="O10" s="39">
        <v>0</v>
      </c>
      <c r="P10" s="40">
        <v>0</v>
      </c>
      <c r="Q10" s="40">
        <v>0</v>
      </c>
      <c r="R10" s="41">
        <v>0</v>
      </c>
      <c r="S10" s="39">
        <v>0</v>
      </c>
      <c r="T10" s="40">
        <v>0</v>
      </c>
      <c r="U10" s="40">
        <v>0</v>
      </c>
      <c r="V10" s="41">
        <v>0</v>
      </c>
      <c r="W10" s="39">
        <v>0</v>
      </c>
      <c r="X10" s="40">
        <v>0</v>
      </c>
      <c r="Y10" s="40">
        <v>0</v>
      </c>
      <c r="Z10" s="41">
        <v>0</v>
      </c>
      <c r="AA10" s="39">
        <v>0</v>
      </c>
      <c r="AB10" s="40">
        <v>8.7</v>
      </c>
      <c r="AC10" s="40">
        <v>1.3</v>
      </c>
      <c r="AD10" s="41">
        <v>1.6</v>
      </c>
      <c r="AE10" s="39">
        <v>3.7</v>
      </c>
      <c r="AF10" s="40">
        <v>4.8</v>
      </c>
      <c r="AG10" s="41">
        <v>4.4</v>
      </c>
      <c r="AH10" s="87"/>
      <c r="AI10" s="7"/>
      <c r="AJ10" s="7"/>
      <c r="AK10" s="87"/>
      <c r="AL10" s="87"/>
      <c r="AM10" s="87"/>
    </row>
    <row r="11" spans="1:39" s="7" customFormat="1" ht="12.75">
      <c r="A11" s="38" t="s">
        <v>575</v>
      </c>
      <c r="B11" s="38" t="s">
        <v>561</v>
      </c>
      <c r="C11" s="347">
        <v>191.5</v>
      </c>
      <c r="D11" s="347">
        <v>161.3</v>
      </c>
      <c r="E11" s="347">
        <v>150.5</v>
      </c>
      <c r="F11" s="347">
        <v>179.4</v>
      </c>
      <c r="G11" s="39">
        <v>99.01</v>
      </c>
      <c r="H11" s="40">
        <v>121.18999999999998</v>
      </c>
      <c r="I11" s="40">
        <v>193.3</v>
      </c>
      <c r="J11" s="41">
        <v>187.06600000000003</v>
      </c>
      <c r="K11" s="39">
        <v>140.60000000000002</v>
      </c>
      <c r="L11" s="40">
        <v>131.2</v>
      </c>
      <c r="M11" s="40">
        <v>64.60000000000001</v>
      </c>
      <c r="N11" s="41">
        <v>81.4</v>
      </c>
      <c r="O11" s="39">
        <v>85.6</v>
      </c>
      <c r="P11" s="40">
        <f>169.2-12.6</f>
        <v>156.6</v>
      </c>
      <c r="Q11" s="40">
        <v>135</v>
      </c>
      <c r="R11" s="41">
        <v>145.3</v>
      </c>
      <c r="S11" s="39">
        <v>171.9</v>
      </c>
      <c r="T11" s="40">
        <v>184.1</v>
      </c>
      <c r="U11" s="40">
        <v>170.60000000000002</v>
      </c>
      <c r="V11" s="41">
        <v>127.29999999999995</v>
      </c>
      <c r="W11" s="39">
        <v>118.5</v>
      </c>
      <c r="X11" s="40">
        <v>116.4</v>
      </c>
      <c r="Y11" s="40">
        <f>126.1+0.1</f>
        <v>126.19999999999999</v>
      </c>
      <c r="Z11" s="41">
        <v>180.9</v>
      </c>
      <c r="AA11" s="39">
        <v>191</v>
      </c>
      <c r="AB11" s="40">
        <v>190.5</v>
      </c>
      <c r="AC11" s="40">
        <v>182.8</v>
      </c>
      <c r="AD11" s="41">
        <v>171.9</v>
      </c>
      <c r="AE11" s="39">
        <v>178.4</v>
      </c>
      <c r="AF11" s="40">
        <v>188.7</v>
      </c>
      <c r="AG11" s="41">
        <v>193.7</v>
      </c>
      <c r="AH11" s="87"/>
      <c r="AK11" s="87"/>
      <c r="AL11" s="87"/>
      <c r="AM11" s="87"/>
    </row>
    <row r="12" spans="1:39" s="7" customFormat="1" ht="12.75">
      <c r="A12" s="38" t="s">
        <v>576</v>
      </c>
      <c r="B12" s="38" t="s">
        <v>562</v>
      </c>
      <c r="C12" s="348"/>
      <c r="D12" s="348"/>
      <c r="E12" s="348"/>
      <c r="F12" s="348"/>
      <c r="G12" s="39">
        <v>53.02002258</v>
      </c>
      <c r="H12" s="40">
        <v>57.328109420000004</v>
      </c>
      <c r="I12" s="40">
        <v>59.35186799999998</v>
      </c>
      <c r="J12" s="41">
        <v>61.20600000000002</v>
      </c>
      <c r="K12" s="39">
        <f>96-0.1</f>
        <v>95.9</v>
      </c>
      <c r="L12" s="40">
        <v>73.8</v>
      </c>
      <c r="M12" s="40">
        <v>97.2</v>
      </c>
      <c r="N12" s="41">
        <v>65.9</v>
      </c>
      <c r="O12" s="39">
        <v>59.8</v>
      </c>
      <c r="P12" s="40">
        <v>-9</v>
      </c>
      <c r="Q12" s="40">
        <v>11.2</v>
      </c>
      <c r="R12" s="41">
        <v>12.6</v>
      </c>
      <c r="S12" s="39">
        <v>3.8000000000000007</v>
      </c>
      <c r="T12" s="40">
        <v>6.699999999999999</v>
      </c>
      <c r="U12" s="40">
        <v>3.4000000000000004</v>
      </c>
      <c r="V12" s="41">
        <v>4.499999999999998</v>
      </c>
      <c r="W12" s="39">
        <v>4.6</v>
      </c>
      <c r="X12" s="40">
        <v>3.1</v>
      </c>
      <c r="Y12" s="40">
        <f>3.8-0.2</f>
        <v>3.5999999999999996</v>
      </c>
      <c r="Z12" s="41">
        <v>2.7</v>
      </c>
      <c r="AA12" s="39">
        <v>5.4</v>
      </c>
      <c r="AB12" s="40">
        <v>7.1</v>
      </c>
      <c r="AC12" s="40">
        <v>7.9</v>
      </c>
      <c r="AD12" s="41">
        <v>6.4</v>
      </c>
      <c r="AE12" s="39">
        <v>9</v>
      </c>
      <c r="AF12" s="40">
        <v>7.8</v>
      </c>
      <c r="AG12" s="41">
        <v>3.2</v>
      </c>
      <c r="AH12" s="87"/>
      <c r="AK12" s="87"/>
      <c r="AL12" s="87"/>
      <c r="AM12" s="87"/>
    </row>
    <row r="13" spans="1:39" s="7" customFormat="1" ht="20.25">
      <c r="A13" s="38" t="s">
        <v>577</v>
      </c>
      <c r="B13" s="38" t="s">
        <v>563</v>
      </c>
      <c r="C13" s="348"/>
      <c r="D13" s="348"/>
      <c r="E13" s="348"/>
      <c r="F13" s="348"/>
      <c r="G13" s="39">
        <v>21.7831152</v>
      </c>
      <c r="H13" s="40">
        <v>86.90059949</v>
      </c>
      <c r="I13" s="40">
        <v>103.23416106</v>
      </c>
      <c r="J13" s="41">
        <v>108.94612424999997</v>
      </c>
      <c r="K13" s="39">
        <v>108</v>
      </c>
      <c r="L13" s="40">
        <v>108.3</v>
      </c>
      <c r="M13" s="40">
        <v>109.3</v>
      </c>
      <c r="N13" s="41">
        <v>109.3</v>
      </c>
      <c r="O13" s="39">
        <v>106.9</v>
      </c>
      <c r="P13" s="40">
        <v>99.2</v>
      </c>
      <c r="Q13" s="40">
        <v>95.7</v>
      </c>
      <c r="R13" s="41">
        <v>94.1</v>
      </c>
      <c r="S13" s="39">
        <v>89.3</v>
      </c>
      <c r="T13" s="40">
        <v>78.89999999999999</v>
      </c>
      <c r="U13" s="40">
        <v>71.70000000000002</v>
      </c>
      <c r="V13" s="41">
        <v>72.99999999999997</v>
      </c>
      <c r="W13" s="39">
        <v>72.6</v>
      </c>
      <c r="X13" s="40">
        <v>56.8</v>
      </c>
      <c r="Y13" s="40">
        <v>35.099999999999994</v>
      </c>
      <c r="Z13" s="41">
        <v>0</v>
      </c>
      <c r="AA13" s="39">
        <v>0</v>
      </c>
      <c r="AB13" s="40">
        <v>0</v>
      </c>
      <c r="AC13" s="40">
        <v>0</v>
      </c>
      <c r="AD13" s="41">
        <v>0</v>
      </c>
      <c r="AE13" s="39">
        <v>0</v>
      </c>
      <c r="AF13" s="40">
        <v>0</v>
      </c>
      <c r="AG13" s="41">
        <v>0</v>
      </c>
      <c r="AH13" s="87"/>
      <c r="AI13" s="9"/>
      <c r="AJ13" s="9"/>
      <c r="AK13" s="87"/>
      <c r="AL13" s="87"/>
      <c r="AM13" s="87"/>
    </row>
    <row r="14" spans="1:39" s="7" customFormat="1" ht="20.25">
      <c r="A14" s="38" t="s">
        <v>578</v>
      </c>
      <c r="B14" s="38" t="s">
        <v>564</v>
      </c>
      <c r="C14" s="349"/>
      <c r="D14" s="349"/>
      <c r="E14" s="349"/>
      <c r="F14" s="349"/>
      <c r="G14" s="39">
        <v>36.08988979</v>
      </c>
      <c r="H14" s="40">
        <v>33.97392146999999</v>
      </c>
      <c r="I14" s="40">
        <v>-13.28136272999999</v>
      </c>
      <c r="J14" s="41">
        <v>21.481551469999992</v>
      </c>
      <c r="K14" s="39">
        <v>6.6</v>
      </c>
      <c r="L14" s="40">
        <v>3.2</v>
      </c>
      <c r="M14" s="40">
        <v>3.2</v>
      </c>
      <c r="N14" s="41">
        <v>3.2</v>
      </c>
      <c r="O14" s="39">
        <v>3.1</v>
      </c>
      <c r="P14" s="40">
        <v>3.1</v>
      </c>
      <c r="Q14" s="40">
        <v>3.2</v>
      </c>
      <c r="R14" s="41">
        <v>2.2</v>
      </c>
      <c r="S14" s="39">
        <v>0.8</v>
      </c>
      <c r="T14" s="40">
        <v>0.8999999999999999</v>
      </c>
      <c r="U14" s="40">
        <v>0</v>
      </c>
      <c r="V14" s="41">
        <v>0</v>
      </c>
      <c r="W14" s="39">
        <v>3.6</v>
      </c>
      <c r="X14" s="40">
        <v>2.7</v>
      </c>
      <c r="Y14" s="40">
        <v>0</v>
      </c>
      <c r="Z14" s="41">
        <v>0</v>
      </c>
      <c r="AA14" s="39">
        <v>0</v>
      </c>
      <c r="AB14" s="40">
        <v>0</v>
      </c>
      <c r="AC14" s="40">
        <v>0</v>
      </c>
      <c r="AD14" s="41">
        <v>0</v>
      </c>
      <c r="AE14" s="39">
        <v>0</v>
      </c>
      <c r="AF14" s="40">
        <v>0</v>
      </c>
      <c r="AG14" s="41">
        <v>0</v>
      </c>
      <c r="AH14" s="87"/>
      <c r="AI14" s="9"/>
      <c r="AJ14" s="9"/>
      <c r="AK14" s="87"/>
      <c r="AL14" s="87"/>
      <c r="AM14" s="87"/>
    </row>
    <row r="15" spans="1:39" s="9" customFormat="1" ht="12.75">
      <c r="A15" s="90" t="s">
        <v>254</v>
      </c>
      <c r="B15" s="90" t="s">
        <v>53</v>
      </c>
      <c r="C15" s="39">
        <v>-25</v>
      </c>
      <c r="D15" s="40">
        <v>-11.1</v>
      </c>
      <c r="E15" s="40">
        <v>-6.7</v>
      </c>
      <c r="F15" s="40">
        <v>-3.7</v>
      </c>
      <c r="G15" s="39">
        <v>20.8</v>
      </c>
      <c r="H15" s="40">
        <v>26.6</v>
      </c>
      <c r="I15" s="40">
        <v>20.3</v>
      </c>
      <c r="J15" s="41">
        <v>26.2</v>
      </c>
      <c r="K15" s="39">
        <v>19.7</v>
      </c>
      <c r="L15" s="40">
        <v>-1.5</v>
      </c>
      <c r="M15" s="40">
        <v>14.6</v>
      </c>
      <c r="N15" s="41">
        <v>14.8</v>
      </c>
      <c r="O15" s="39">
        <v>23</v>
      </c>
      <c r="P15" s="40">
        <v>11.9</v>
      </c>
      <c r="Q15" s="40">
        <v>18.8</v>
      </c>
      <c r="R15" s="41">
        <v>-5.4</v>
      </c>
      <c r="S15" s="39">
        <v>-16.6</v>
      </c>
      <c r="T15" s="40">
        <v>-13.4</v>
      </c>
      <c r="U15" s="40">
        <v>-1.9</v>
      </c>
      <c r="V15" s="41">
        <v>15.2</v>
      </c>
      <c r="W15" s="39">
        <v>11.3</v>
      </c>
      <c r="X15" s="40">
        <v>2.2</v>
      </c>
      <c r="Y15" s="40">
        <v>18.7</v>
      </c>
      <c r="Z15" s="41">
        <v>17.6</v>
      </c>
      <c r="AA15" s="39">
        <v>15.6</v>
      </c>
      <c r="AB15" s="40">
        <v>2.4</v>
      </c>
      <c r="AC15" s="40">
        <v>12.8</v>
      </c>
      <c r="AD15" s="41">
        <v>10.3</v>
      </c>
      <c r="AE15" s="39">
        <v>9.6</v>
      </c>
      <c r="AF15" s="40">
        <v>9</v>
      </c>
      <c r="AG15" s="41">
        <v>11.2</v>
      </c>
      <c r="AH15" s="87"/>
      <c r="AK15" s="87"/>
      <c r="AL15" s="87"/>
      <c r="AM15" s="87"/>
    </row>
    <row r="16" spans="1:39" s="9" customFormat="1" ht="12.75">
      <c r="A16" s="88" t="s">
        <v>255</v>
      </c>
      <c r="B16" s="88" t="s">
        <v>54</v>
      </c>
      <c r="C16" s="39">
        <f>-0.1+0.1</f>
        <v>0</v>
      </c>
      <c r="D16" s="40">
        <f>0.2-0.2</f>
        <v>0</v>
      </c>
      <c r="E16" s="40">
        <f>-0.6+0.6</f>
        <v>0</v>
      </c>
      <c r="F16" s="40">
        <v>0</v>
      </c>
      <c r="G16" s="39">
        <f>0.5-0.5</f>
        <v>0</v>
      </c>
      <c r="H16" s="40">
        <f>0.4-0.4</f>
        <v>0</v>
      </c>
      <c r="I16" s="40">
        <f>0.3-0.3</f>
        <v>0</v>
      </c>
      <c r="J16" s="41">
        <f>0.4-0.4</f>
        <v>0</v>
      </c>
      <c r="K16" s="39">
        <f>0.1-0.1</f>
        <v>0</v>
      </c>
      <c r="L16" s="40">
        <f>0.1-0.1</f>
        <v>0</v>
      </c>
      <c r="M16" s="40">
        <f>0.1-0.1</f>
        <v>0</v>
      </c>
      <c r="N16" s="41">
        <v>0</v>
      </c>
      <c r="O16" s="39">
        <f>0.1-0.1</f>
        <v>0</v>
      </c>
      <c r="P16" s="40">
        <f>0.1-0.1</f>
        <v>0</v>
      </c>
      <c r="Q16" s="40">
        <v>0</v>
      </c>
      <c r="R16" s="41">
        <f>0.1-0.1</f>
        <v>0</v>
      </c>
      <c r="S16" s="39">
        <f>0.2-0.2</f>
        <v>0</v>
      </c>
      <c r="T16" s="40">
        <f>0.1-0.1</f>
        <v>0</v>
      </c>
      <c r="U16" s="40">
        <f>0.1-0.1</f>
        <v>0</v>
      </c>
      <c r="V16" s="41">
        <f>0.1-0.1</f>
        <v>0</v>
      </c>
      <c r="W16" s="39">
        <f>0.4-0.4</f>
        <v>0</v>
      </c>
      <c r="X16" s="40">
        <f>1.1-1.1</f>
        <v>0</v>
      </c>
      <c r="Y16" s="40">
        <v>0</v>
      </c>
      <c r="Z16" s="41">
        <v>0</v>
      </c>
      <c r="AA16" s="39">
        <v>0</v>
      </c>
      <c r="AB16" s="40">
        <v>0</v>
      </c>
      <c r="AC16" s="40">
        <v>0</v>
      </c>
      <c r="AD16" s="41">
        <v>0</v>
      </c>
      <c r="AE16" s="39">
        <v>0</v>
      </c>
      <c r="AF16" s="40">
        <v>0</v>
      </c>
      <c r="AG16" s="41">
        <v>0</v>
      </c>
      <c r="AH16" s="87"/>
      <c r="AK16" s="87"/>
      <c r="AL16" s="87"/>
      <c r="AM16" s="87"/>
    </row>
    <row r="17" spans="1:39" s="9" customFormat="1" ht="12.75">
      <c r="A17" s="98" t="s">
        <v>256</v>
      </c>
      <c r="B17" s="98" t="s">
        <v>50</v>
      </c>
      <c r="C17" s="47">
        <f>C6+C7+C10+C11+C15+C16</f>
        <v>556</v>
      </c>
      <c r="D17" s="47">
        <f>D6+D7+D10+D11+D15+D16</f>
        <v>585.9999999999999</v>
      </c>
      <c r="E17" s="47">
        <f>E6+E7+E10+E11+E15+E16</f>
        <v>618.3</v>
      </c>
      <c r="F17" s="47">
        <f>F6+F7+F10+F11+F15+F16</f>
        <v>673.3</v>
      </c>
      <c r="G17" s="46">
        <f aca="true" t="shared" si="0" ref="G17:AB17">G16+G15+G14+G13+G12+G11+G10+G7+G6</f>
        <v>750.50302757</v>
      </c>
      <c r="H17" s="47">
        <f t="shared" si="0"/>
        <v>855.29263038</v>
      </c>
      <c r="I17" s="47">
        <f t="shared" si="0"/>
        <v>910.1046663300001</v>
      </c>
      <c r="J17" s="47">
        <f t="shared" si="0"/>
        <v>982.7996757200001</v>
      </c>
      <c r="K17" s="46">
        <f t="shared" si="0"/>
        <v>860.8000000000001</v>
      </c>
      <c r="L17" s="47">
        <f t="shared" si="0"/>
        <v>773.3</v>
      </c>
      <c r="M17" s="47">
        <f t="shared" si="0"/>
        <v>732.1000000000001</v>
      </c>
      <c r="N17" s="47">
        <f t="shared" si="0"/>
        <v>711.5</v>
      </c>
      <c r="O17" s="46">
        <f t="shared" si="0"/>
        <v>726.8</v>
      </c>
      <c r="P17" s="47">
        <f t="shared" si="0"/>
        <v>723.1</v>
      </c>
      <c r="Q17" s="47">
        <f t="shared" si="0"/>
        <v>747.3</v>
      </c>
      <c r="R17" s="47">
        <f t="shared" si="0"/>
        <v>751.5</v>
      </c>
      <c r="S17" s="46">
        <f t="shared" si="0"/>
        <v>772.5999999999999</v>
      </c>
      <c r="T17" s="47">
        <f t="shared" si="0"/>
        <v>833.5999999999999</v>
      </c>
      <c r="U17" s="47">
        <f t="shared" si="0"/>
        <v>882.3000000000001</v>
      </c>
      <c r="V17" s="47">
        <f t="shared" si="0"/>
        <v>896.9999999999999</v>
      </c>
      <c r="W17" s="46">
        <f t="shared" si="0"/>
        <v>945.2</v>
      </c>
      <c r="X17" s="47">
        <f t="shared" si="0"/>
        <v>945.1999999999998</v>
      </c>
      <c r="Y17" s="47">
        <f t="shared" si="0"/>
        <v>963.2</v>
      </c>
      <c r="Z17" s="47">
        <f t="shared" si="0"/>
        <v>977.9000000000001</v>
      </c>
      <c r="AA17" s="46">
        <f t="shared" si="0"/>
        <v>925.0999999999999</v>
      </c>
      <c r="AB17" s="47">
        <f t="shared" si="0"/>
        <v>902.8</v>
      </c>
      <c r="AC17" s="47">
        <f>AC16+AC15+AC14+AC13+AC12+AC11+AC10+AC7+AC6</f>
        <v>895.3999999999999</v>
      </c>
      <c r="AD17" s="47">
        <f>AD16+AD15+AD14+AD13+AD12+AD11+AD10+AD7+AD6</f>
        <v>891.4000000000001</v>
      </c>
      <c r="AE17" s="46">
        <f>AE16+AE15+AE14+AE13+AE12+AE11+AE10+AE7+AE6</f>
        <v>903.8</v>
      </c>
      <c r="AF17" s="47">
        <f>AF16+AF15+AF14+AF13+AF12+AF11+AF10+AF7+AF6</f>
        <v>932.5999999999999</v>
      </c>
      <c r="AG17" s="47">
        <f>AG16+AG15+AG14+AG13+AG12+AG11+AG10+AG7+AG6</f>
        <v>962.1999999999999</v>
      </c>
      <c r="AH17" s="87"/>
      <c r="AK17" s="87"/>
      <c r="AL17" s="87"/>
      <c r="AM17" s="87"/>
    </row>
    <row r="18" spans="1:39" s="9" customFormat="1" ht="12.75">
      <c r="A18" s="37"/>
      <c r="B18" s="37"/>
      <c r="C18" s="39"/>
      <c r="D18" s="40"/>
      <c r="E18" s="40"/>
      <c r="F18" s="40"/>
      <c r="G18" s="39"/>
      <c r="H18" s="40"/>
      <c r="I18" s="40"/>
      <c r="J18" s="41"/>
      <c r="K18" s="39"/>
      <c r="L18" s="40"/>
      <c r="M18" s="40"/>
      <c r="N18" s="41"/>
      <c r="O18" s="39"/>
      <c r="P18" s="40"/>
      <c r="Q18" s="40"/>
      <c r="R18" s="41"/>
      <c r="S18" s="39"/>
      <c r="T18" s="40"/>
      <c r="U18" s="40"/>
      <c r="V18" s="41"/>
      <c r="W18" s="39"/>
      <c r="X18" s="40"/>
      <c r="Y18" s="40"/>
      <c r="Z18" s="41"/>
      <c r="AA18" s="39"/>
      <c r="AB18" s="40"/>
      <c r="AC18" s="40"/>
      <c r="AD18" s="41"/>
      <c r="AE18" s="39"/>
      <c r="AF18" s="40"/>
      <c r="AG18" s="41"/>
      <c r="AH18" s="87"/>
      <c r="AK18" s="87"/>
      <c r="AL18" s="87"/>
      <c r="AM18" s="87"/>
    </row>
    <row r="19" spans="1:39" s="9" customFormat="1" ht="12.75">
      <c r="A19" s="89" t="s">
        <v>257</v>
      </c>
      <c r="B19" s="89" t="s">
        <v>55</v>
      </c>
      <c r="C19" s="39"/>
      <c r="D19" s="40"/>
      <c r="E19" s="40"/>
      <c r="F19" s="40"/>
      <c r="G19" s="39"/>
      <c r="H19" s="40"/>
      <c r="I19" s="40"/>
      <c r="J19" s="41"/>
      <c r="K19" s="39"/>
      <c r="L19" s="40"/>
      <c r="M19" s="40"/>
      <c r="N19" s="41"/>
      <c r="O19" s="39"/>
      <c r="P19" s="40"/>
      <c r="Q19" s="40"/>
      <c r="R19" s="41"/>
      <c r="S19" s="39"/>
      <c r="T19" s="40"/>
      <c r="U19" s="40"/>
      <c r="V19" s="41"/>
      <c r="W19" s="39"/>
      <c r="X19" s="40"/>
      <c r="Y19" s="40"/>
      <c r="Z19" s="41"/>
      <c r="AA19" s="39"/>
      <c r="AB19" s="40"/>
      <c r="AC19" s="40"/>
      <c r="AD19" s="41"/>
      <c r="AE19" s="39"/>
      <c r="AF19" s="40"/>
      <c r="AG19" s="41"/>
      <c r="AH19" s="87"/>
      <c r="AK19" s="87"/>
      <c r="AL19" s="87"/>
      <c r="AM19" s="87"/>
    </row>
    <row r="20" spans="1:39" s="9" customFormat="1" ht="12.75">
      <c r="A20" s="88" t="s">
        <v>258</v>
      </c>
      <c r="B20" s="88" t="s">
        <v>56</v>
      </c>
      <c r="C20" s="39">
        <v>26.7</v>
      </c>
      <c r="D20" s="40">
        <v>25.7</v>
      </c>
      <c r="E20" s="40">
        <v>30.7</v>
      </c>
      <c r="F20" s="40">
        <v>35.4</v>
      </c>
      <c r="G20" s="39">
        <v>38.9</v>
      </c>
      <c r="H20" s="40">
        <v>55</v>
      </c>
      <c r="I20" s="40">
        <v>61.9</v>
      </c>
      <c r="J20" s="41">
        <v>90.5</v>
      </c>
      <c r="K20" s="39">
        <v>97.7</v>
      </c>
      <c r="L20" s="40">
        <v>52.3</v>
      </c>
      <c r="M20" s="40">
        <v>18.4</v>
      </c>
      <c r="N20" s="41">
        <v>16.6</v>
      </c>
      <c r="O20" s="39">
        <v>18.6</v>
      </c>
      <c r="P20" s="40">
        <v>18.6</v>
      </c>
      <c r="Q20" s="40">
        <v>19.3</v>
      </c>
      <c r="R20" s="41">
        <v>34.7</v>
      </c>
      <c r="S20" s="39">
        <v>42</v>
      </c>
      <c r="T20" s="40">
        <v>48.9</v>
      </c>
      <c r="U20" s="40">
        <v>44.3</v>
      </c>
      <c r="V20" s="41">
        <v>27.7</v>
      </c>
      <c r="W20" s="39">
        <v>39.8</v>
      </c>
      <c r="X20" s="40">
        <v>31.4</v>
      </c>
      <c r="Y20" s="40">
        <v>24.2</v>
      </c>
      <c r="Z20" s="41">
        <v>32.3</v>
      </c>
      <c r="AA20" s="39">
        <v>26.3</v>
      </c>
      <c r="AB20" s="40">
        <v>24.5</v>
      </c>
      <c r="AC20" s="40">
        <v>17.3</v>
      </c>
      <c r="AD20" s="41">
        <v>16.9</v>
      </c>
      <c r="AE20" s="39">
        <v>25.2</v>
      </c>
      <c r="AF20" s="40">
        <v>28.4</v>
      </c>
      <c r="AG20" s="41">
        <v>21.2</v>
      </c>
      <c r="AH20" s="87"/>
      <c r="AK20" s="87"/>
      <c r="AL20" s="87"/>
      <c r="AM20" s="87"/>
    </row>
    <row r="21" spans="1:39" s="9" customFormat="1" ht="12.75">
      <c r="A21" s="90" t="s">
        <v>259</v>
      </c>
      <c r="B21" s="90" t="s">
        <v>57</v>
      </c>
      <c r="C21" s="39">
        <v>293.2</v>
      </c>
      <c r="D21" s="40">
        <v>313.40000000000003</v>
      </c>
      <c r="E21" s="40">
        <v>333</v>
      </c>
      <c r="F21" s="40">
        <v>374.7</v>
      </c>
      <c r="G21" s="39">
        <v>428.2</v>
      </c>
      <c r="H21" s="40">
        <v>484.5</v>
      </c>
      <c r="I21" s="40">
        <v>527.3</v>
      </c>
      <c r="J21" s="41">
        <v>559.8000000000001</v>
      </c>
      <c r="K21" s="39">
        <v>452</v>
      </c>
      <c r="L21" s="40">
        <v>362</v>
      </c>
      <c r="M21" s="40">
        <v>335.7</v>
      </c>
      <c r="N21" s="41">
        <v>340.5</v>
      </c>
      <c r="O21" s="39">
        <v>317.8</v>
      </c>
      <c r="P21" s="40">
        <v>299.2</v>
      </c>
      <c r="Q21" s="40">
        <v>317.8</v>
      </c>
      <c r="R21" s="41">
        <v>295.1</v>
      </c>
      <c r="S21" s="39">
        <v>295.7</v>
      </c>
      <c r="T21" s="40">
        <v>325.2</v>
      </c>
      <c r="U21" s="40">
        <v>360.6</v>
      </c>
      <c r="V21" s="41">
        <v>389.6</v>
      </c>
      <c r="W21" s="39">
        <v>391.9</v>
      </c>
      <c r="X21" s="40">
        <v>399.7</v>
      </c>
      <c r="Y21" s="40">
        <v>423.5</v>
      </c>
      <c r="Z21" s="41">
        <v>437.8</v>
      </c>
      <c r="AA21" s="39">
        <v>415.6</v>
      </c>
      <c r="AB21" s="40">
        <f>375.7-7</f>
        <v>368.7</v>
      </c>
      <c r="AC21" s="40">
        <v>343.8</v>
      </c>
      <c r="AD21" s="41">
        <v>321.5</v>
      </c>
      <c r="AE21" s="39">
        <v>304.4</v>
      </c>
      <c r="AF21" s="40">
        <v>315.8</v>
      </c>
      <c r="AG21" s="41">
        <v>336.5</v>
      </c>
      <c r="AH21" s="87"/>
      <c r="AK21" s="87"/>
      <c r="AL21" s="87"/>
      <c r="AM21" s="87"/>
    </row>
    <row r="22" spans="1:39" s="9" customFormat="1" ht="12.75">
      <c r="A22" s="90" t="s">
        <v>648</v>
      </c>
      <c r="B22" s="90" t="s">
        <v>588</v>
      </c>
      <c r="C22" s="39">
        <v>0</v>
      </c>
      <c r="D22" s="40">
        <v>0</v>
      </c>
      <c r="E22" s="40">
        <v>0</v>
      </c>
      <c r="F22" s="40">
        <v>0</v>
      </c>
      <c r="G22" s="39">
        <v>0</v>
      </c>
      <c r="H22" s="40">
        <v>0</v>
      </c>
      <c r="I22" s="40">
        <v>0</v>
      </c>
      <c r="J22" s="41">
        <v>0</v>
      </c>
      <c r="K22" s="39">
        <v>0</v>
      </c>
      <c r="L22" s="40">
        <v>0</v>
      </c>
      <c r="M22" s="40">
        <v>0</v>
      </c>
      <c r="N22" s="41">
        <v>0</v>
      </c>
      <c r="O22" s="39">
        <v>0</v>
      </c>
      <c r="P22" s="40">
        <v>0</v>
      </c>
      <c r="Q22" s="40">
        <v>0</v>
      </c>
      <c r="R22" s="41">
        <v>0</v>
      </c>
      <c r="S22" s="39">
        <v>0</v>
      </c>
      <c r="T22" s="40">
        <v>0</v>
      </c>
      <c r="U22" s="40">
        <v>0</v>
      </c>
      <c r="V22" s="41">
        <v>0</v>
      </c>
      <c r="W22" s="39">
        <v>0</v>
      </c>
      <c r="X22" s="40">
        <v>0</v>
      </c>
      <c r="Y22" s="40">
        <v>0</v>
      </c>
      <c r="Z22" s="41">
        <v>0</v>
      </c>
      <c r="AA22" s="39">
        <v>0</v>
      </c>
      <c r="AB22" s="40">
        <v>7</v>
      </c>
      <c r="AC22" s="40">
        <v>1.8</v>
      </c>
      <c r="AD22" s="41">
        <v>1.2</v>
      </c>
      <c r="AE22" s="39">
        <v>0.4</v>
      </c>
      <c r="AF22" s="40">
        <v>0.7</v>
      </c>
      <c r="AG22" s="41">
        <v>2</v>
      </c>
      <c r="AH22" s="87"/>
      <c r="AK22" s="87"/>
      <c r="AL22" s="87"/>
      <c r="AM22" s="87"/>
    </row>
    <row r="23" spans="1:39" s="9" customFormat="1" ht="12.75">
      <c r="A23" s="90" t="s">
        <v>542</v>
      </c>
      <c r="B23" s="90" t="s">
        <v>541</v>
      </c>
      <c r="C23" s="39">
        <v>0</v>
      </c>
      <c r="D23" s="40">
        <v>0</v>
      </c>
      <c r="E23" s="40">
        <v>0</v>
      </c>
      <c r="F23" s="40">
        <v>0</v>
      </c>
      <c r="G23" s="39">
        <v>0</v>
      </c>
      <c r="H23" s="40">
        <v>0</v>
      </c>
      <c r="I23" s="40">
        <v>0</v>
      </c>
      <c r="J23" s="41">
        <v>0</v>
      </c>
      <c r="K23" s="39">
        <v>0</v>
      </c>
      <c r="L23" s="40">
        <v>0</v>
      </c>
      <c r="M23" s="40">
        <v>0</v>
      </c>
      <c r="N23" s="41">
        <v>0</v>
      </c>
      <c r="O23" s="39">
        <v>0</v>
      </c>
      <c r="P23" s="40">
        <v>0</v>
      </c>
      <c r="Q23" s="40">
        <v>0</v>
      </c>
      <c r="R23" s="41">
        <v>0</v>
      </c>
      <c r="S23" s="39">
        <v>0</v>
      </c>
      <c r="T23" s="40">
        <v>0</v>
      </c>
      <c r="U23" s="40">
        <v>0</v>
      </c>
      <c r="V23" s="41">
        <v>0</v>
      </c>
      <c r="W23" s="39">
        <v>0</v>
      </c>
      <c r="X23" s="40">
        <v>0</v>
      </c>
      <c r="Y23" s="40">
        <v>0</v>
      </c>
      <c r="Z23" s="41">
        <v>2</v>
      </c>
      <c r="AA23" s="39">
        <v>7.4</v>
      </c>
      <c r="AB23" s="40">
        <v>6.8</v>
      </c>
      <c r="AC23" s="40">
        <v>5.1</v>
      </c>
      <c r="AD23" s="41">
        <v>5.1</v>
      </c>
      <c r="AE23" s="39">
        <v>5</v>
      </c>
      <c r="AF23" s="40">
        <v>5.1</v>
      </c>
      <c r="AG23" s="41">
        <v>5.1</v>
      </c>
      <c r="AH23" s="87"/>
      <c r="AK23" s="87"/>
      <c r="AL23" s="87"/>
      <c r="AM23" s="87"/>
    </row>
    <row r="24" spans="1:39" s="9" customFormat="1" ht="12.75">
      <c r="A24" s="284" t="s">
        <v>649</v>
      </c>
      <c r="B24" s="90" t="s">
        <v>549</v>
      </c>
      <c r="C24" s="39">
        <v>0</v>
      </c>
      <c r="D24" s="40">
        <v>0</v>
      </c>
      <c r="E24" s="40">
        <v>0</v>
      </c>
      <c r="F24" s="40">
        <v>0</v>
      </c>
      <c r="G24" s="39">
        <v>0</v>
      </c>
      <c r="H24" s="40">
        <v>0</v>
      </c>
      <c r="I24" s="40">
        <v>0</v>
      </c>
      <c r="J24" s="41">
        <v>0</v>
      </c>
      <c r="K24" s="39">
        <v>0</v>
      </c>
      <c r="L24" s="40">
        <v>0</v>
      </c>
      <c r="M24" s="40">
        <v>0</v>
      </c>
      <c r="N24" s="41">
        <v>0</v>
      </c>
      <c r="O24" s="39">
        <v>0</v>
      </c>
      <c r="P24" s="40">
        <v>0</v>
      </c>
      <c r="Q24" s="40">
        <v>0</v>
      </c>
      <c r="R24" s="41">
        <v>0</v>
      </c>
      <c r="S24" s="39">
        <v>0</v>
      </c>
      <c r="T24" s="40">
        <v>0</v>
      </c>
      <c r="U24" s="40">
        <v>0</v>
      </c>
      <c r="V24" s="41">
        <v>0</v>
      </c>
      <c r="W24" s="39">
        <v>0</v>
      </c>
      <c r="X24" s="40">
        <v>0</v>
      </c>
      <c r="Y24" s="40">
        <v>0</v>
      </c>
      <c r="Z24" s="41">
        <v>0</v>
      </c>
      <c r="AA24" s="39">
        <v>0</v>
      </c>
      <c r="AB24" s="40">
        <v>0.5</v>
      </c>
      <c r="AC24" s="40">
        <v>1.3</v>
      </c>
      <c r="AD24" s="41">
        <v>1.3</v>
      </c>
      <c r="AE24" s="39">
        <v>0.9</v>
      </c>
      <c r="AF24" s="40">
        <v>0.4</v>
      </c>
      <c r="AG24" s="41">
        <v>0.5</v>
      </c>
      <c r="AH24" s="87"/>
      <c r="AK24" s="87"/>
      <c r="AL24" s="87"/>
      <c r="AM24" s="87"/>
    </row>
    <row r="25" spans="1:39" s="9" customFormat="1" ht="12.75">
      <c r="A25" s="98" t="s">
        <v>260</v>
      </c>
      <c r="B25" s="98" t="s">
        <v>58</v>
      </c>
      <c r="C25" s="47">
        <f aca="true" t="shared" si="1" ref="C25:Y25">SUM(C20:C23)</f>
        <v>319.9</v>
      </c>
      <c r="D25" s="47">
        <f t="shared" si="1"/>
        <v>339.1</v>
      </c>
      <c r="E25" s="47">
        <f t="shared" si="1"/>
        <v>363.7</v>
      </c>
      <c r="F25" s="47">
        <f t="shared" si="1"/>
        <v>410.09999999999997</v>
      </c>
      <c r="G25" s="46">
        <f t="shared" si="1"/>
        <v>467.09999999999997</v>
      </c>
      <c r="H25" s="47">
        <f t="shared" si="1"/>
        <v>539.5</v>
      </c>
      <c r="I25" s="47">
        <f t="shared" si="1"/>
        <v>589.1999999999999</v>
      </c>
      <c r="J25" s="47">
        <f t="shared" si="1"/>
        <v>650.3000000000001</v>
      </c>
      <c r="K25" s="46">
        <f t="shared" si="1"/>
        <v>549.7</v>
      </c>
      <c r="L25" s="47">
        <f t="shared" si="1"/>
        <v>414.3</v>
      </c>
      <c r="M25" s="47">
        <f t="shared" si="1"/>
        <v>354.09999999999997</v>
      </c>
      <c r="N25" s="47">
        <f t="shared" si="1"/>
        <v>357.1</v>
      </c>
      <c r="O25" s="46">
        <f t="shared" si="1"/>
        <v>336.40000000000003</v>
      </c>
      <c r="P25" s="47">
        <f t="shared" si="1"/>
        <v>317.8</v>
      </c>
      <c r="Q25" s="47">
        <f t="shared" si="1"/>
        <v>337.1</v>
      </c>
      <c r="R25" s="47">
        <f t="shared" si="1"/>
        <v>329.8</v>
      </c>
      <c r="S25" s="46">
        <f t="shared" si="1"/>
        <v>337.7</v>
      </c>
      <c r="T25" s="47">
        <f t="shared" si="1"/>
        <v>374.09999999999997</v>
      </c>
      <c r="U25" s="47">
        <f t="shared" si="1"/>
        <v>404.90000000000003</v>
      </c>
      <c r="V25" s="47">
        <f t="shared" si="1"/>
        <v>417.3</v>
      </c>
      <c r="W25" s="46">
        <f t="shared" si="1"/>
        <v>431.7</v>
      </c>
      <c r="X25" s="47">
        <f t="shared" si="1"/>
        <v>431.09999999999997</v>
      </c>
      <c r="Y25" s="47">
        <f t="shared" si="1"/>
        <v>447.7</v>
      </c>
      <c r="Z25" s="47">
        <f>SUM(Z20:Z23)</f>
        <v>472.1</v>
      </c>
      <c r="AA25" s="46">
        <f aca="true" t="shared" si="2" ref="AA25:AG25">SUM(AA20:AA24)</f>
        <v>449.3</v>
      </c>
      <c r="AB25" s="47">
        <f t="shared" si="2"/>
        <v>407.5</v>
      </c>
      <c r="AC25" s="47">
        <f t="shared" si="2"/>
        <v>369.30000000000007</v>
      </c>
      <c r="AD25" s="47">
        <f t="shared" si="2"/>
        <v>346</v>
      </c>
      <c r="AE25" s="46">
        <f t="shared" si="2"/>
        <v>335.8999999999999</v>
      </c>
      <c r="AF25" s="47">
        <f t="shared" si="2"/>
        <v>350.4</v>
      </c>
      <c r="AG25" s="47">
        <f t="shared" si="2"/>
        <v>365.3</v>
      </c>
      <c r="AH25" s="87"/>
      <c r="AI25" s="13"/>
      <c r="AJ25" s="13"/>
      <c r="AK25" s="87"/>
      <c r="AL25" s="87"/>
      <c r="AM25" s="87"/>
    </row>
    <row r="26" spans="1:39" s="9" customFormat="1" ht="12.75">
      <c r="A26" s="37"/>
      <c r="B26" s="37"/>
      <c r="C26" s="39"/>
      <c r="D26" s="40"/>
      <c r="E26" s="40"/>
      <c r="F26" s="40"/>
      <c r="G26" s="39"/>
      <c r="H26" s="40"/>
      <c r="I26" s="40"/>
      <c r="J26" s="41"/>
      <c r="K26" s="39"/>
      <c r="L26" s="40"/>
      <c r="M26" s="40"/>
      <c r="N26" s="41"/>
      <c r="O26" s="39"/>
      <c r="P26" s="40"/>
      <c r="Q26" s="40"/>
      <c r="R26" s="41"/>
      <c r="S26" s="39"/>
      <c r="T26" s="40"/>
      <c r="U26" s="40"/>
      <c r="V26" s="41"/>
      <c r="W26" s="39"/>
      <c r="X26" s="40"/>
      <c r="Y26" s="40"/>
      <c r="Z26" s="41"/>
      <c r="AA26" s="39"/>
      <c r="AB26" s="40"/>
      <c r="AC26" s="40"/>
      <c r="AD26" s="41"/>
      <c r="AE26" s="39"/>
      <c r="AF26" s="40"/>
      <c r="AG26" s="41"/>
      <c r="AH26" s="87"/>
      <c r="AI26" s="3"/>
      <c r="AJ26" s="3"/>
      <c r="AK26" s="87"/>
      <c r="AL26" s="87"/>
      <c r="AM26" s="87"/>
    </row>
    <row r="27" spans="1:39" s="13" customFormat="1" ht="12.75">
      <c r="A27" s="99" t="s">
        <v>188</v>
      </c>
      <c r="B27" s="99" t="s">
        <v>2</v>
      </c>
      <c r="C27" s="94">
        <f>C17-C25</f>
        <v>236.10000000000002</v>
      </c>
      <c r="D27" s="95">
        <f aca="true" t="shared" si="3" ref="D27:X27">D17-D25</f>
        <v>246.89999999999986</v>
      </c>
      <c r="E27" s="95">
        <f t="shared" si="3"/>
        <v>254.59999999999997</v>
      </c>
      <c r="F27" s="95">
        <f t="shared" si="3"/>
        <v>263.2</v>
      </c>
      <c r="G27" s="94">
        <f t="shared" si="3"/>
        <v>283.40302757</v>
      </c>
      <c r="H27" s="95">
        <f t="shared" si="3"/>
        <v>315.79263038</v>
      </c>
      <c r="I27" s="95">
        <f t="shared" si="3"/>
        <v>320.90466633000017</v>
      </c>
      <c r="J27" s="96">
        <f t="shared" si="3"/>
        <v>332.49967572</v>
      </c>
      <c r="K27" s="94">
        <f t="shared" si="3"/>
        <v>311.1</v>
      </c>
      <c r="L27" s="95">
        <f t="shared" si="3"/>
        <v>358.99999999999994</v>
      </c>
      <c r="M27" s="95">
        <f t="shared" si="3"/>
        <v>378.00000000000017</v>
      </c>
      <c r="N27" s="96">
        <f t="shared" si="3"/>
        <v>354.4</v>
      </c>
      <c r="O27" s="94">
        <f t="shared" si="3"/>
        <v>390.3999999999999</v>
      </c>
      <c r="P27" s="95">
        <f t="shared" si="3"/>
        <v>405.3</v>
      </c>
      <c r="Q27" s="95">
        <f t="shared" si="3"/>
        <v>410.19999999999993</v>
      </c>
      <c r="R27" s="96">
        <f t="shared" si="3"/>
        <v>421.7</v>
      </c>
      <c r="S27" s="94">
        <f t="shared" si="3"/>
        <v>434.8999999999999</v>
      </c>
      <c r="T27" s="95">
        <f t="shared" si="3"/>
        <v>459.49999999999994</v>
      </c>
      <c r="U27" s="95">
        <f t="shared" si="3"/>
        <v>477.40000000000003</v>
      </c>
      <c r="V27" s="96">
        <f t="shared" si="3"/>
        <v>479.6999999999999</v>
      </c>
      <c r="W27" s="94">
        <f t="shared" si="3"/>
        <v>513.5</v>
      </c>
      <c r="X27" s="95">
        <f t="shared" si="3"/>
        <v>514.0999999999999</v>
      </c>
      <c r="Y27" s="95">
        <f aca="true" t="shared" si="4" ref="Y27:AG27">Y17-Y25</f>
        <v>515.5</v>
      </c>
      <c r="Z27" s="96">
        <f t="shared" si="4"/>
        <v>505.80000000000007</v>
      </c>
      <c r="AA27" s="94">
        <f t="shared" si="4"/>
        <v>475.7999999999999</v>
      </c>
      <c r="AB27" s="95">
        <f t="shared" si="4"/>
        <v>495.29999999999995</v>
      </c>
      <c r="AC27" s="95">
        <f t="shared" si="4"/>
        <v>526.0999999999998</v>
      </c>
      <c r="AD27" s="96">
        <f t="shared" si="4"/>
        <v>545.4000000000001</v>
      </c>
      <c r="AE27" s="96">
        <f t="shared" si="4"/>
        <v>567.9000000000001</v>
      </c>
      <c r="AF27" s="95">
        <f t="shared" si="4"/>
        <v>582.1999999999999</v>
      </c>
      <c r="AG27" s="95">
        <f t="shared" si="4"/>
        <v>596.8999999999999</v>
      </c>
      <c r="AH27" s="87"/>
      <c r="AI27" s="3"/>
      <c r="AJ27" s="3"/>
      <c r="AK27" s="87"/>
      <c r="AL27" s="87"/>
      <c r="AM27" s="87"/>
    </row>
    <row r="28" spans="1:33" ht="12.75">
      <c r="A28" s="3"/>
      <c r="B28" s="3"/>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row>
    <row r="29" spans="1:33" ht="12.75">
      <c r="A29" s="3"/>
      <c r="B29" s="3"/>
      <c r="AA29" s="97"/>
      <c r="AB29" s="97"/>
      <c r="AC29" s="97"/>
      <c r="AD29" s="97"/>
      <c r="AE29" s="97"/>
      <c r="AF29" s="97"/>
      <c r="AG29" s="97"/>
    </row>
    <row r="30" spans="1:34" ht="12.75">
      <c r="A30" s="3"/>
      <c r="B30" s="3"/>
      <c r="AA30" s="97"/>
      <c r="AB30" s="97"/>
      <c r="AC30" s="97"/>
      <c r="AD30" s="97"/>
      <c r="AE30" s="97"/>
      <c r="AF30" s="97"/>
      <c r="AG30" s="97"/>
      <c r="AH30" s="97"/>
    </row>
    <row r="31" spans="1:34" ht="12.75">
      <c r="A31" s="3"/>
      <c r="B31" s="3"/>
      <c r="AA31" s="97"/>
      <c r="AB31" s="97"/>
      <c r="AC31" s="97"/>
      <c r="AD31" s="97"/>
      <c r="AE31" s="97"/>
      <c r="AF31" s="97"/>
      <c r="AG31" s="97"/>
      <c r="AH31" s="97"/>
    </row>
    <row r="32" spans="1:33" ht="12.75">
      <c r="A32" s="3"/>
      <c r="B32" s="3"/>
      <c r="AA32" s="97"/>
      <c r="AB32" s="97"/>
      <c r="AC32" s="97"/>
      <c r="AD32" s="97"/>
      <c r="AE32" s="97"/>
      <c r="AF32" s="97"/>
      <c r="AG32" s="97"/>
    </row>
    <row r="33" spans="1:33" ht="12.75">
      <c r="A33" s="3"/>
      <c r="B33" s="3"/>
      <c r="AA33" s="97"/>
      <c r="AB33" s="97"/>
      <c r="AC33" s="97"/>
      <c r="AD33" s="97"/>
      <c r="AE33" s="97"/>
      <c r="AF33" s="97"/>
      <c r="AG33" s="97"/>
    </row>
    <row r="34" spans="1:2" ht="12.75">
      <c r="A34" s="3"/>
      <c r="B34" s="3"/>
    </row>
    <row r="35" spans="1:2" ht="12.75">
      <c r="A35" s="3"/>
      <c r="B35" s="3"/>
    </row>
    <row r="36" spans="1:2" ht="12.75">
      <c r="A36" s="3"/>
      <c r="B36" s="3"/>
    </row>
    <row r="37" spans="1:2" ht="12.75">
      <c r="A37" s="3"/>
      <c r="B37" s="3"/>
    </row>
    <row r="38" spans="1:2" ht="12.75">
      <c r="A38" s="3"/>
      <c r="B38" s="3"/>
    </row>
    <row r="39" spans="1:2" ht="12.75">
      <c r="A39" s="3"/>
      <c r="B39" s="3"/>
    </row>
    <row r="40" spans="1:2" ht="12.75">
      <c r="A40" s="3"/>
      <c r="B40" s="3"/>
    </row>
    <row r="41" spans="1:2" ht="12.75">
      <c r="A41" s="3"/>
      <c r="B41" s="3"/>
    </row>
    <row r="42" spans="1:2" ht="12.75">
      <c r="A42" s="3"/>
      <c r="B42" s="3"/>
    </row>
    <row r="43" spans="1:2" ht="12.75">
      <c r="A43" s="3"/>
      <c r="B43" s="3"/>
    </row>
    <row r="44" spans="1:2" ht="12.75">
      <c r="A44" s="3"/>
      <c r="B44" s="3"/>
    </row>
    <row r="45" spans="1:2" ht="12.75">
      <c r="A45" s="3"/>
      <c r="B45" s="3"/>
    </row>
    <row r="46" spans="1:2" ht="12.75">
      <c r="A46" s="3"/>
      <c r="B46" s="3"/>
    </row>
    <row r="47" spans="1:2" ht="12.75">
      <c r="A47" s="3"/>
      <c r="B47" s="3"/>
    </row>
    <row r="48" spans="1:2" ht="12.75">
      <c r="A48" s="3"/>
      <c r="B48" s="3"/>
    </row>
    <row r="49" spans="1:2" ht="12.75">
      <c r="A49" s="3"/>
      <c r="B49" s="3"/>
    </row>
    <row r="50" spans="1:2" ht="12.75">
      <c r="A50" s="3"/>
      <c r="B50" s="3"/>
    </row>
    <row r="51" spans="1:2" ht="12.75">
      <c r="A51" s="3"/>
      <c r="B51" s="3"/>
    </row>
    <row r="52" spans="1:2" ht="12.75">
      <c r="A52" s="3"/>
      <c r="B52" s="3"/>
    </row>
    <row r="53" spans="1:2" ht="12.75">
      <c r="A53" s="3"/>
      <c r="B53" s="3"/>
    </row>
    <row r="54" spans="1:2" ht="12.75">
      <c r="A54" s="3"/>
      <c r="B54" s="3"/>
    </row>
    <row r="55" spans="1:2" ht="12.75">
      <c r="A55" s="3"/>
      <c r="B55" s="3"/>
    </row>
    <row r="56" spans="1:2" ht="12.75">
      <c r="A56" s="3"/>
      <c r="B56" s="3"/>
    </row>
  </sheetData>
  <sheetProtection/>
  <mergeCells count="14">
    <mergeCell ref="AE2:AG2"/>
    <mergeCell ref="A2:A3"/>
    <mergeCell ref="B2:B3"/>
    <mergeCell ref="C2:F2"/>
    <mergeCell ref="G2:J2"/>
    <mergeCell ref="K2:N2"/>
    <mergeCell ref="AA2:AD2"/>
    <mergeCell ref="C11:C14"/>
    <mergeCell ref="D11:D14"/>
    <mergeCell ref="E11:E14"/>
    <mergeCell ref="F11:F14"/>
    <mergeCell ref="W2:Z2"/>
    <mergeCell ref="S2:V2"/>
    <mergeCell ref="O2:R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alignWithMargins="0">
    <oddHeader>&amp;C&amp;"Times New Roman,Kursywa"&amp;12
</oddHeader>
  </headerFooter>
  <ignoredErrors>
    <ignoredError sqref="C25:Z25" formulaRange="1"/>
    <ignoredError sqref="I16 S16" formula="1"/>
  </ignoredErrors>
</worksheet>
</file>

<file path=xl/worksheets/sheet6.xml><?xml version="1.0" encoding="utf-8"?>
<worksheet xmlns="http://schemas.openxmlformats.org/spreadsheetml/2006/main" xmlns:r="http://schemas.openxmlformats.org/officeDocument/2006/relationships">
  <dimension ref="A1:AO37"/>
  <sheetViews>
    <sheetView showGridLines="0" view="pageBreakPreview" zoomScaleSheetLayoutView="100" zoomScalePageLayoutView="80" workbookViewId="0" topLeftCell="A1">
      <pane xSplit="2" ySplit="3" topLeftCell="F4" activePane="bottomRight" state="frozen"/>
      <selection pane="topLeft" activeCell="B2" sqref="B2:B3"/>
      <selection pane="topRight" activeCell="B2" sqref="B2:B3"/>
      <selection pane="bottomLeft" activeCell="B2" sqref="B2:B3"/>
      <selection pane="bottomRight" activeCell="A2" sqref="A2:A3"/>
    </sheetView>
  </sheetViews>
  <sheetFormatPr defaultColWidth="9.00390625" defaultRowHeight="12.75" outlineLevelCol="1"/>
  <cols>
    <col min="1" max="1" width="44.00390625" style="2" customWidth="1"/>
    <col min="2" max="2" width="39.50390625" style="2" hidden="1" customWidth="1" outlineLevel="1"/>
    <col min="3" max="3" width="4.875" style="3" customWidth="1" collapsed="1"/>
    <col min="4" max="22" width="4.875" style="3" customWidth="1"/>
    <col min="23" max="26" width="5.50390625" style="3" customWidth="1"/>
    <col min="27" max="27" width="5.50390625" style="3" bestFit="1" customWidth="1"/>
    <col min="28" max="30" width="5.00390625" style="3" bestFit="1" customWidth="1"/>
    <col min="31" max="33" width="4.875" style="3" bestFit="1" customWidth="1"/>
    <col min="34" max="16384" width="8.875" style="3" customWidth="1"/>
  </cols>
  <sheetData>
    <row r="1" spans="1:2" ht="12.75">
      <c r="A1" s="259" t="s">
        <v>585</v>
      </c>
      <c r="B1" s="259" t="s">
        <v>586</v>
      </c>
    </row>
    <row r="2" spans="1:36" ht="12.75">
      <c r="A2" s="343" t="s">
        <v>528</v>
      </c>
      <c r="B2" s="343" t="s">
        <v>5</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2"/>
      <c r="AA2" s="340">
        <v>2013</v>
      </c>
      <c r="AB2" s="341"/>
      <c r="AC2" s="341"/>
      <c r="AD2" s="342"/>
      <c r="AE2" s="340">
        <v>2014</v>
      </c>
      <c r="AF2" s="341"/>
      <c r="AG2" s="341"/>
      <c r="AI2" s="4"/>
      <c r="AJ2" s="4"/>
    </row>
    <row r="3" spans="1:36" s="4" customFormat="1" ht="12.75">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6" t="s">
        <v>183</v>
      </c>
      <c r="AA3" s="34" t="s">
        <v>180</v>
      </c>
      <c r="AB3" s="35" t="s">
        <v>181</v>
      </c>
      <c r="AC3" s="35" t="s">
        <v>182</v>
      </c>
      <c r="AD3" s="36" t="s">
        <v>183</v>
      </c>
      <c r="AE3" s="285" t="s">
        <v>180</v>
      </c>
      <c r="AF3" s="35" t="s">
        <v>181</v>
      </c>
      <c r="AG3" s="35" t="s">
        <v>182</v>
      </c>
      <c r="AI3" s="7"/>
      <c r="AJ3" s="7"/>
    </row>
    <row r="4" spans="1:36" s="4" customFormat="1" ht="12.75" customHeight="1">
      <c r="A4" s="20" t="s">
        <v>185</v>
      </c>
      <c r="B4" s="20" t="s">
        <v>12</v>
      </c>
      <c r="C4" s="16"/>
      <c r="D4" s="6"/>
      <c r="E4" s="5"/>
      <c r="F4" s="6"/>
      <c r="G4" s="16"/>
      <c r="H4" s="6"/>
      <c r="I4" s="5"/>
      <c r="J4" s="17"/>
      <c r="K4" s="16"/>
      <c r="L4" s="6"/>
      <c r="M4" s="5"/>
      <c r="N4" s="17"/>
      <c r="O4" s="16"/>
      <c r="P4" s="6"/>
      <c r="Q4" s="5"/>
      <c r="R4" s="17"/>
      <c r="S4" s="16"/>
      <c r="T4" s="6"/>
      <c r="U4" s="5"/>
      <c r="V4" s="17"/>
      <c r="W4" s="16"/>
      <c r="X4" s="5"/>
      <c r="Y4" s="5"/>
      <c r="Z4" s="18"/>
      <c r="AA4" s="16"/>
      <c r="AB4" s="5"/>
      <c r="AC4" s="5"/>
      <c r="AD4" s="18"/>
      <c r="AE4" s="5"/>
      <c r="AF4" s="5"/>
      <c r="AI4" s="7"/>
      <c r="AJ4" s="7"/>
    </row>
    <row r="5" spans="1:33" s="7" customFormat="1" ht="12.75">
      <c r="A5" s="101" t="s">
        <v>529</v>
      </c>
      <c r="B5" s="101" t="s">
        <v>60</v>
      </c>
      <c r="C5" s="39"/>
      <c r="D5" s="40"/>
      <c r="E5" s="40"/>
      <c r="F5" s="40"/>
      <c r="G5" s="39"/>
      <c r="H5" s="40"/>
      <c r="I5" s="40"/>
      <c r="J5" s="41"/>
      <c r="K5" s="39"/>
      <c r="L5" s="40"/>
      <c r="M5" s="40"/>
      <c r="N5" s="41"/>
      <c r="O5" s="39"/>
      <c r="P5" s="40"/>
      <c r="Q5" s="40"/>
      <c r="R5" s="41"/>
      <c r="S5" s="39"/>
      <c r="T5" s="40"/>
      <c r="U5" s="40"/>
      <c r="V5" s="41"/>
      <c r="W5" s="39"/>
      <c r="X5" s="40"/>
      <c r="Y5" s="40"/>
      <c r="Z5" s="41"/>
      <c r="AA5" s="39"/>
      <c r="AB5" s="40"/>
      <c r="AC5" s="40"/>
      <c r="AD5" s="41"/>
      <c r="AE5" s="5"/>
      <c r="AF5" s="40"/>
      <c r="AG5" s="41"/>
    </row>
    <row r="6" spans="1:41" s="7" customFormat="1" ht="12.75">
      <c r="A6" s="27" t="s">
        <v>270</v>
      </c>
      <c r="B6" s="27" t="s">
        <v>62</v>
      </c>
      <c r="C6" s="39">
        <v>24.6</v>
      </c>
      <c r="D6" s="40">
        <v>27.4</v>
      </c>
      <c r="E6" s="40">
        <v>23.1</v>
      </c>
      <c r="F6" s="40">
        <v>23.7</v>
      </c>
      <c r="G6" s="39">
        <v>22.4</v>
      </c>
      <c r="H6" s="40">
        <v>23.4</v>
      </c>
      <c r="I6" s="40">
        <v>36.9</v>
      </c>
      <c r="J6" s="41">
        <v>56.8</v>
      </c>
      <c r="K6" s="39">
        <v>59.5</v>
      </c>
      <c r="L6" s="40">
        <v>55.1</v>
      </c>
      <c r="M6" s="40">
        <v>50.8</v>
      </c>
      <c r="N6" s="41">
        <v>45.1</v>
      </c>
      <c r="O6" s="39">
        <v>60.6</v>
      </c>
      <c r="P6" s="40">
        <v>59.6</v>
      </c>
      <c r="Q6" s="40">
        <v>61</v>
      </c>
      <c r="R6" s="41">
        <v>62.8</v>
      </c>
      <c r="S6" s="39">
        <v>59.7</v>
      </c>
      <c r="T6" s="40">
        <v>64.4</v>
      </c>
      <c r="U6" s="40">
        <v>70.3</v>
      </c>
      <c r="V6" s="41">
        <v>69.4</v>
      </c>
      <c r="W6" s="39">
        <v>65.5</v>
      </c>
      <c r="X6" s="40">
        <v>66.2</v>
      </c>
      <c r="Y6" s="40">
        <v>72</v>
      </c>
      <c r="Z6" s="41">
        <v>67.4</v>
      </c>
      <c r="AA6" s="39">
        <v>64.3</v>
      </c>
      <c r="AB6" s="40">
        <f>75.1-10.3</f>
        <v>64.8</v>
      </c>
      <c r="AC6" s="40">
        <f>56.8+5.1</f>
        <v>61.9</v>
      </c>
      <c r="AD6" s="41">
        <v>69.2</v>
      </c>
      <c r="AE6" s="39">
        <v>64.5</v>
      </c>
      <c r="AF6" s="40">
        <v>68.2</v>
      </c>
      <c r="AG6" s="41">
        <v>75.9</v>
      </c>
      <c r="AH6" s="87"/>
      <c r="AI6" s="312"/>
      <c r="AJ6" s="4"/>
      <c r="AK6" s="87"/>
      <c r="AL6" s="87"/>
      <c r="AN6" s="87"/>
      <c r="AO6" s="87"/>
    </row>
    <row r="7" spans="1:41" s="7" customFormat="1" ht="12.75">
      <c r="A7" s="102" t="s">
        <v>262</v>
      </c>
      <c r="B7" s="102" t="s">
        <v>550</v>
      </c>
      <c r="C7" s="39">
        <v>62.5</v>
      </c>
      <c r="D7" s="40">
        <v>69.1</v>
      </c>
      <c r="E7" s="40">
        <v>66.6</v>
      </c>
      <c r="F7" s="40">
        <v>68.3</v>
      </c>
      <c r="G7" s="39">
        <v>68.7</v>
      </c>
      <c r="H7" s="40">
        <v>71.4</v>
      </c>
      <c r="I7" s="40">
        <v>71.5</v>
      </c>
      <c r="J7" s="41">
        <v>76.1</v>
      </c>
      <c r="K7" s="39">
        <v>71.2</v>
      </c>
      <c r="L7" s="40">
        <v>71.7</v>
      </c>
      <c r="M7" s="40">
        <v>73.4</v>
      </c>
      <c r="N7" s="41">
        <v>72.2</v>
      </c>
      <c r="O7" s="39">
        <v>69.8</v>
      </c>
      <c r="P7" s="40">
        <v>66.3</v>
      </c>
      <c r="Q7" s="40">
        <v>64.8</v>
      </c>
      <c r="R7" s="41">
        <v>65.2</v>
      </c>
      <c r="S7" s="39">
        <v>62.1</v>
      </c>
      <c r="T7" s="40">
        <v>64.7</v>
      </c>
      <c r="U7" s="40">
        <v>63.9</v>
      </c>
      <c r="V7" s="41">
        <v>65</v>
      </c>
      <c r="W7" s="39">
        <v>61.7</v>
      </c>
      <c r="X7" s="40">
        <v>63.6</v>
      </c>
      <c r="Y7" s="40">
        <v>61.4</v>
      </c>
      <c r="Z7" s="41">
        <v>62.8</v>
      </c>
      <c r="AA7" s="39">
        <v>63.6</v>
      </c>
      <c r="AB7" s="40">
        <v>64.6</v>
      </c>
      <c r="AC7" s="40">
        <v>65.3</v>
      </c>
      <c r="AD7" s="41">
        <v>64.2</v>
      </c>
      <c r="AE7" s="39">
        <v>62.5</v>
      </c>
      <c r="AF7" s="40">
        <v>62.8</v>
      </c>
      <c r="AG7" s="41">
        <v>61.8</v>
      </c>
      <c r="AH7" s="87"/>
      <c r="AI7" s="312"/>
      <c r="AJ7" s="9"/>
      <c r="AK7" s="87"/>
      <c r="AL7" s="87"/>
      <c r="AN7" s="87"/>
      <c r="AO7" s="87"/>
    </row>
    <row r="8" spans="1:41" s="4" customFormat="1" ht="12.75">
      <c r="A8" s="103" t="s">
        <v>263</v>
      </c>
      <c r="B8" s="103" t="s">
        <v>551</v>
      </c>
      <c r="C8" s="39">
        <v>25.2</v>
      </c>
      <c r="D8" s="40">
        <v>25.1</v>
      </c>
      <c r="E8" s="40">
        <v>24.8</v>
      </c>
      <c r="F8" s="40">
        <v>28.4</v>
      </c>
      <c r="G8" s="39">
        <v>30.5</v>
      </c>
      <c r="H8" s="40">
        <v>34.7</v>
      </c>
      <c r="I8" s="40">
        <v>36.9</v>
      </c>
      <c r="J8" s="41">
        <v>35.3</v>
      </c>
      <c r="K8" s="39">
        <v>33.9</v>
      </c>
      <c r="L8" s="40">
        <v>41.4</v>
      </c>
      <c r="M8" s="40">
        <v>43.6</v>
      </c>
      <c r="N8" s="41">
        <v>43</v>
      </c>
      <c r="O8" s="39">
        <v>39.2</v>
      </c>
      <c r="P8" s="40">
        <v>43.9</v>
      </c>
      <c r="Q8" s="40">
        <v>48.9</v>
      </c>
      <c r="R8" s="41">
        <v>53</v>
      </c>
      <c r="S8" s="39">
        <v>50.8</v>
      </c>
      <c r="T8" s="40">
        <v>51.1</v>
      </c>
      <c r="U8" s="40">
        <v>52.2</v>
      </c>
      <c r="V8" s="41">
        <v>54.3</v>
      </c>
      <c r="W8" s="39">
        <v>49.6</v>
      </c>
      <c r="X8" s="40">
        <v>51.1</v>
      </c>
      <c r="Y8" s="40">
        <v>51.9</v>
      </c>
      <c r="Z8" s="41">
        <v>54.4</v>
      </c>
      <c r="AA8" s="40">
        <f>42.5-0.3</f>
        <v>42.2</v>
      </c>
      <c r="AB8" s="40">
        <f>46.3-0.2</f>
        <v>46.099999999999994</v>
      </c>
      <c r="AC8" s="40">
        <f>49.4-0.3</f>
        <v>49.1</v>
      </c>
      <c r="AD8" s="41">
        <f>52-0.5</f>
        <v>51.5</v>
      </c>
      <c r="AE8" s="39">
        <f>48.6-0.9</f>
        <v>47.7</v>
      </c>
      <c r="AF8" s="40">
        <v>51.8</v>
      </c>
      <c r="AG8" s="41">
        <v>25.6</v>
      </c>
      <c r="AH8" s="87"/>
      <c r="AI8" s="312"/>
      <c r="AJ8" s="9"/>
      <c r="AK8" s="87"/>
      <c r="AL8" s="87"/>
      <c r="AN8" s="87"/>
      <c r="AO8" s="87"/>
    </row>
    <row r="9" spans="1:41" s="9" customFormat="1" ht="12.75">
      <c r="A9" s="27" t="s">
        <v>264</v>
      </c>
      <c r="B9" s="27" t="s">
        <v>552</v>
      </c>
      <c r="C9" s="39">
        <v>27.6</v>
      </c>
      <c r="D9" s="40">
        <v>21.9</v>
      </c>
      <c r="E9" s="40">
        <v>30.7</v>
      </c>
      <c r="F9" s="40">
        <v>29.7</v>
      </c>
      <c r="G9" s="39">
        <v>33.6</v>
      </c>
      <c r="H9" s="40">
        <v>25.8</v>
      </c>
      <c r="I9" s="40">
        <v>30.7</v>
      </c>
      <c r="J9" s="41">
        <v>32.7</v>
      </c>
      <c r="K9" s="39">
        <v>34.2</v>
      </c>
      <c r="L9" s="40">
        <v>33.2</v>
      </c>
      <c r="M9" s="40">
        <v>36.5</v>
      </c>
      <c r="N9" s="41">
        <v>37.9</v>
      </c>
      <c r="O9" s="39">
        <v>36.6</v>
      </c>
      <c r="P9" s="40">
        <v>38.6</v>
      </c>
      <c r="Q9" s="40">
        <v>40.1</v>
      </c>
      <c r="R9" s="41">
        <v>39.5</v>
      </c>
      <c r="S9" s="39">
        <v>42.8</v>
      </c>
      <c r="T9" s="40">
        <v>42.6</v>
      </c>
      <c r="U9" s="40">
        <v>49.1</v>
      </c>
      <c r="V9" s="41">
        <v>44.1</v>
      </c>
      <c r="W9" s="39">
        <v>43.9</v>
      </c>
      <c r="X9" s="40">
        <v>45.1</v>
      </c>
      <c r="Y9" s="40">
        <v>43</v>
      </c>
      <c r="Z9" s="41">
        <v>46.5</v>
      </c>
      <c r="AA9" s="40">
        <f>47.2+1.8</f>
        <v>49</v>
      </c>
      <c r="AB9" s="40">
        <v>51.6</v>
      </c>
      <c r="AC9" s="40">
        <v>49.1</v>
      </c>
      <c r="AD9" s="41">
        <v>44.5</v>
      </c>
      <c r="AE9" s="39">
        <v>54.6</v>
      </c>
      <c r="AF9" s="40">
        <v>54</v>
      </c>
      <c r="AG9" s="41">
        <v>51.4</v>
      </c>
      <c r="AH9" s="87"/>
      <c r="AI9" s="312"/>
      <c r="AK9" s="87"/>
      <c r="AL9" s="87"/>
      <c r="AN9" s="87"/>
      <c r="AO9" s="87"/>
    </row>
    <row r="10" spans="1:41" s="9" customFormat="1" ht="12.75">
      <c r="A10" s="103" t="s">
        <v>265</v>
      </c>
      <c r="B10" s="103" t="s">
        <v>553</v>
      </c>
      <c r="C10" s="39">
        <v>50</v>
      </c>
      <c r="D10" s="40">
        <v>54.9</v>
      </c>
      <c r="E10" s="40">
        <v>58.2</v>
      </c>
      <c r="F10" s="40">
        <v>50.1</v>
      </c>
      <c r="G10" s="39">
        <v>33.7</v>
      </c>
      <c r="H10" s="40">
        <v>27.9</v>
      </c>
      <c r="I10" s="40">
        <v>21.8</v>
      </c>
      <c r="J10" s="41">
        <v>15.2</v>
      </c>
      <c r="K10" s="39">
        <v>12.2</v>
      </c>
      <c r="L10" s="40">
        <v>14.3</v>
      </c>
      <c r="M10" s="40">
        <v>13.5</v>
      </c>
      <c r="N10" s="41">
        <v>23.2</v>
      </c>
      <c r="O10" s="39">
        <v>16.4</v>
      </c>
      <c r="P10" s="40">
        <v>20.5</v>
      </c>
      <c r="Q10" s="40">
        <v>21.3</v>
      </c>
      <c r="R10" s="41">
        <v>23.1</v>
      </c>
      <c r="S10" s="39">
        <v>22.6</v>
      </c>
      <c r="T10" s="40">
        <v>23</v>
      </c>
      <c r="U10" s="40">
        <v>18.9</v>
      </c>
      <c r="V10" s="41">
        <v>15.9</v>
      </c>
      <c r="W10" s="39">
        <v>15.2</v>
      </c>
      <c r="X10" s="40">
        <v>14.8</v>
      </c>
      <c r="Y10" s="40">
        <v>14.7</v>
      </c>
      <c r="Z10" s="41">
        <v>16.9</v>
      </c>
      <c r="AA10" s="40">
        <v>16.3</v>
      </c>
      <c r="AB10" s="40">
        <v>17.8</v>
      </c>
      <c r="AC10" s="40">
        <v>19.3</v>
      </c>
      <c r="AD10" s="41">
        <v>22</v>
      </c>
      <c r="AE10" s="39">
        <v>20.5</v>
      </c>
      <c r="AF10" s="40">
        <v>21.2</v>
      </c>
      <c r="AG10" s="41">
        <v>21.1</v>
      </c>
      <c r="AH10" s="87"/>
      <c r="AI10" s="312"/>
      <c r="AJ10" s="7"/>
      <c r="AK10" s="87"/>
      <c r="AL10" s="87"/>
      <c r="AN10" s="87"/>
      <c r="AO10" s="87"/>
    </row>
    <row r="11" spans="1:41" s="9" customFormat="1" ht="12.75">
      <c r="A11" s="102" t="s">
        <v>261</v>
      </c>
      <c r="B11" s="102" t="s">
        <v>554</v>
      </c>
      <c r="C11" s="39">
        <v>33.1</v>
      </c>
      <c r="D11" s="40">
        <v>32.4</v>
      </c>
      <c r="E11" s="40">
        <v>28.2</v>
      </c>
      <c r="F11" s="40">
        <v>31.1</v>
      </c>
      <c r="G11" s="39">
        <v>25.7</v>
      </c>
      <c r="H11" s="40">
        <v>16.3</v>
      </c>
      <c r="I11" s="40">
        <v>16.2</v>
      </c>
      <c r="J11" s="41">
        <v>17.2</v>
      </c>
      <c r="K11" s="39">
        <v>15.2</v>
      </c>
      <c r="L11" s="40">
        <v>17.3</v>
      </c>
      <c r="M11" s="40">
        <v>20</v>
      </c>
      <c r="N11" s="41">
        <v>21.4</v>
      </c>
      <c r="O11" s="39">
        <v>21.3</v>
      </c>
      <c r="P11" s="40">
        <v>17.4</v>
      </c>
      <c r="Q11" s="40">
        <v>20.3</v>
      </c>
      <c r="R11" s="41">
        <v>15.9</v>
      </c>
      <c r="S11" s="39">
        <v>19.9</v>
      </c>
      <c r="T11" s="40">
        <v>23.2</v>
      </c>
      <c r="U11" s="40">
        <v>17.6</v>
      </c>
      <c r="V11" s="41">
        <v>16.1</v>
      </c>
      <c r="W11" s="39">
        <v>19.1</v>
      </c>
      <c r="X11" s="40">
        <v>12.3</v>
      </c>
      <c r="Y11" s="40">
        <v>10.8</v>
      </c>
      <c r="Z11" s="41">
        <v>14.5</v>
      </c>
      <c r="AA11" s="40">
        <v>10.9</v>
      </c>
      <c r="AB11" s="40">
        <v>14.3</v>
      </c>
      <c r="AC11" s="40">
        <v>10.5</v>
      </c>
      <c r="AD11" s="41">
        <v>10.6</v>
      </c>
      <c r="AE11" s="39">
        <v>15.4</v>
      </c>
      <c r="AF11" s="40">
        <v>9.1</v>
      </c>
      <c r="AG11" s="41">
        <v>9.1</v>
      </c>
      <c r="AH11" s="87"/>
      <c r="AI11" s="312"/>
      <c r="AK11" s="87"/>
      <c r="AL11" s="87"/>
      <c r="AN11" s="87"/>
      <c r="AO11" s="87"/>
    </row>
    <row r="12" spans="1:41" s="7" customFormat="1" ht="12.75">
      <c r="A12" s="27" t="s">
        <v>266</v>
      </c>
      <c r="B12" s="27" t="s">
        <v>555</v>
      </c>
      <c r="C12" s="39">
        <v>8.5</v>
      </c>
      <c r="D12" s="40">
        <v>7.4</v>
      </c>
      <c r="E12" s="40">
        <v>9.2</v>
      </c>
      <c r="F12" s="40">
        <v>1.8</v>
      </c>
      <c r="G12" s="39">
        <v>7.2</v>
      </c>
      <c r="H12" s="40">
        <v>8</v>
      </c>
      <c r="I12" s="40">
        <v>7.4</v>
      </c>
      <c r="J12" s="41">
        <v>6.6</v>
      </c>
      <c r="K12" s="39">
        <v>6.3</v>
      </c>
      <c r="L12" s="40">
        <v>6.4</v>
      </c>
      <c r="M12" s="40">
        <v>6.4</v>
      </c>
      <c r="N12" s="41">
        <v>6.8</v>
      </c>
      <c r="O12" s="39">
        <v>6.8</v>
      </c>
      <c r="P12" s="40">
        <v>6.9</v>
      </c>
      <c r="Q12" s="40">
        <v>7.5</v>
      </c>
      <c r="R12" s="41">
        <v>7.3</v>
      </c>
      <c r="S12" s="39">
        <v>7.3</v>
      </c>
      <c r="T12" s="40">
        <v>8.2</v>
      </c>
      <c r="U12" s="40">
        <v>9</v>
      </c>
      <c r="V12" s="41">
        <v>6.9</v>
      </c>
      <c r="W12" s="39">
        <v>6.5</v>
      </c>
      <c r="X12" s="40">
        <v>7.1</v>
      </c>
      <c r="Y12" s="40">
        <v>6.8</v>
      </c>
      <c r="Z12" s="41">
        <v>7.1</v>
      </c>
      <c r="AA12" s="40">
        <v>7.8</v>
      </c>
      <c r="AB12" s="40">
        <v>7.6</v>
      </c>
      <c r="AC12" s="40">
        <v>8</v>
      </c>
      <c r="AD12" s="41">
        <v>7.5</v>
      </c>
      <c r="AE12" s="39">
        <v>7.1</v>
      </c>
      <c r="AF12" s="40">
        <v>7.9</v>
      </c>
      <c r="AG12" s="41">
        <v>7.8</v>
      </c>
      <c r="AH12" s="87"/>
      <c r="AI12" s="312"/>
      <c r="AJ12" s="9"/>
      <c r="AK12" s="87"/>
      <c r="AL12" s="87"/>
      <c r="AN12" s="87"/>
      <c r="AO12" s="87"/>
    </row>
    <row r="13" spans="1:41" s="9" customFormat="1" ht="12.75">
      <c r="A13" s="103" t="s">
        <v>267</v>
      </c>
      <c r="B13" s="103" t="s">
        <v>556</v>
      </c>
      <c r="C13" s="39">
        <v>0.1</v>
      </c>
      <c r="D13" s="40">
        <v>0.1</v>
      </c>
      <c r="E13" s="40">
        <v>0.2</v>
      </c>
      <c r="F13" s="40">
        <v>0.2</v>
      </c>
      <c r="G13" s="39">
        <v>0.1</v>
      </c>
      <c r="H13" s="40">
        <v>0.2</v>
      </c>
      <c r="I13" s="40">
        <v>0.2</v>
      </c>
      <c r="J13" s="41">
        <v>0.2</v>
      </c>
      <c r="K13" s="39">
        <v>0.1</v>
      </c>
      <c r="L13" s="40">
        <v>0.1</v>
      </c>
      <c r="M13" s="40">
        <v>0.1</v>
      </c>
      <c r="N13" s="41">
        <v>0.1</v>
      </c>
      <c r="O13" s="39">
        <v>0.1</v>
      </c>
      <c r="P13" s="40">
        <v>0.2</v>
      </c>
      <c r="Q13" s="40">
        <v>0.2</v>
      </c>
      <c r="R13" s="41">
        <v>0.2</v>
      </c>
      <c r="S13" s="39">
        <v>0</v>
      </c>
      <c r="T13" s="40">
        <v>0.2</v>
      </c>
      <c r="U13" s="40">
        <v>0.2</v>
      </c>
      <c r="V13" s="41">
        <v>0.2</v>
      </c>
      <c r="W13" s="39">
        <f>5.5+0.4</f>
        <v>5.9</v>
      </c>
      <c r="X13" s="40">
        <f>5.1+0.8</f>
        <v>5.8999999999999995</v>
      </c>
      <c r="Y13" s="40">
        <f>4.5+0.5</f>
        <v>5</v>
      </c>
      <c r="Z13" s="41">
        <f>5+0.5</f>
        <v>5.5</v>
      </c>
      <c r="AA13" s="40">
        <v>6.4</v>
      </c>
      <c r="AB13" s="40">
        <v>6.8</v>
      </c>
      <c r="AC13" s="40">
        <v>5.8</v>
      </c>
      <c r="AD13" s="41">
        <v>7.3</v>
      </c>
      <c r="AE13" s="39">
        <v>6.4</v>
      </c>
      <c r="AF13" s="40">
        <v>7.9</v>
      </c>
      <c r="AG13" s="41">
        <v>8.2</v>
      </c>
      <c r="AH13" s="87"/>
      <c r="AI13" s="312"/>
      <c r="AK13" s="87"/>
      <c r="AL13" s="87"/>
      <c r="AN13" s="87"/>
      <c r="AO13" s="87"/>
    </row>
    <row r="14" spans="1:41" s="9" customFormat="1" ht="12.75">
      <c r="A14" s="103" t="s">
        <v>268</v>
      </c>
      <c r="B14" s="103" t="s">
        <v>557</v>
      </c>
      <c r="C14" s="39">
        <v>5.5</v>
      </c>
      <c r="D14" s="40">
        <v>5.8</v>
      </c>
      <c r="E14" s="40">
        <v>5.7</v>
      </c>
      <c r="F14" s="40">
        <v>4.7</v>
      </c>
      <c r="G14" s="39">
        <v>3.9</v>
      </c>
      <c r="H14" s="40">
        <v>4.1</v>
      </c>
      <c r="I14" s="40">
        <v>4</v>
      </c>
      <c r="J14" s="41">
        <v>3.8</v>
      </c>
      <c r="K14" s="39">
        <v>3.2</v>
      </c>
      <c r="L14" s="40">
        <v>3.5</v>
      </c>
      <c r="M14" s="40">
        <v>3.9</v>
      </c>
      <c r="N14" s="41">
        <v>3.7</v>
      </c>
      <c r="O14" s="39">
        <v>3.1</v>
      </c>
      <c r="P14" s="40">
        <v>3.2</v>
      </c>
      <c r="Q14" s="40">
        <v>3.2</v>
      </c>
      <c r="R14" s="41">
        <v>3.5</v>
      </c>
      <c r="S14" s="39">
        <v>3.4</v>
      </c>
      <c r="T14" s="40">
        <v>3.7</v>
      </c>
      <c r="U14" s="40">
        <v>3.7</v>
      </c>
      <c r="V14" s="41">
        <v>3.5</v>
      </c>
      <c r="W14" s="39">
        <v>3.3</v>
      </c>
      <c r="X14" s="40">
        <v>3.5</v>
      </c>
      <c r="Y14" s="40">
        <v>3.5</v>
      </c>
      <c r="Z14" s="41">
        <v>3.8</v>
      </c>
      <c r="AA14" s="40">
        <v>3.9</v>
      </c>
      <c r="AB14" s="40">
        <v>3.9</v>
      </c>
      <c r="AC14" s="40">
        <v>4</v>
      </c>
      <c r="AD14" s="41">
        <v>4.2</v>
      </c>
      <c r="AE14" s="39">
        <v>4.2</v>
      </c>
      <c r="AF14" s="40">
        <v>4.4</v>
      </c>
      <c r="AG14" s="41">
        <v>4.5</v>
      </c>
      <c r="AH14" s="87"/>
      <c r="AI14" s="312"/>
      <c r="AJ14" s="3"/>
      <c r="AK14" s="87"/>
      <c r="AL14" s="87"/>
      <c r="AN14" s="87"/>
      <c r="AO14" s="87"/>
    </row>
    <row r="15" spans="1:41" s="9" customFormat="1" ht="12.75">
      <c r="A15" s="103" t="s">
        <v>580</v>
      </c>
      <c r="B15" s="103" t="s">
        <v>579</v>
      </c>
      <c r="C15" s="39">
        <v>0.6</v>
      </c>
      <c r="D15" s="40">
        <v>0.8</v>
      </c>
      <c r="E15" s="40">
        <v>0.8</v>
      </c>
      <c r="F15" s="40">
        <v>2</v>
      </c>
      <c r="G15" s="39">
        <v>1.1</v>
      </c>
      <c r="H15" s="40">
        <v>1.6</v>
      </c>
      <c r="I15" s="40">
        <v>9.5</v>
      </c>
      <c r="J15" s="41">
        <v>16.2</v>
      </c>
      <c r="K15" s="39">
        <v>14.5</v>
      </c>
      <c r="L15" s="40">
        <v>20.8</v>
      </c>
      <c r="M15" s="40">
        <v>22.700000000000003</v>
      </c>
      <c r="N15" s="41">
        <v>18.9</v>
      </c>
      <c r="O15" s="39">
        <v>4</v>
      </c>
      <c r="P15" s="40">
        <v>15.200000000000001</v>
      </c>
      <c r="Q15" s="40">
        <v>11.600000000000001</v>
      </c>
      <c r="R15" s="41">
        <v>16.9</v>
      </c>
      <c r="S15" s="39">
        <v>8.4</v>
      </c>
      <c r="T15" s="40">
        <v>7.3</v>
      </c>
      <c r="U15" s="40">
        <v>6.9</v>
      </c>
      <c r="V15" s="41">
        <v>7.3</v>
      </c>
      <c r="W15" s="39">
        <v>5.5</v>
      </c>
      <c r="X15" s="40">
        <v>8.5</v>
      </c>
      <c r="Y15" s="40">
        <v>9.6</v>
      </c>
      <c r="Z15" s="41">
        <v>8</v>
      </c>
      <c r="AA15" s="40">
        <v>2.5999999999999996</v>
      </c>
      <c r="AB15" s="40">
        <f>3.6-0.5</f>
        <v>3.1</v>
      </c>
      <c r="AC15" s="40">
        <f>-8-1.2</f>
        <v>-9.2</v>
      </c>
      <c r="AD15" s="41">
        <v>4.4</v>
      </c>
      <c r="AE15" s="39">
        <v>10.4</v>
      </c>
      <c r="AF15" s="40">
        <v>10.5</v>
      </c>
      <c r="AG15" s="41">
        <v>11.5</v>
      </c>
      <c r="AH15" s="87"/>
      <c r="AI15" s="312"/>
      <c r="AK15" s="87"/>
      <c r="AL15" s="87"/>
      <c r="AN15" s="87"/>
      <c r="AO15" s="87"/>
    </row>
    <row r="16" spans="1:41" ht="12.75">
      <c r="A16" s="27" t="s">
        <v>269</v>
      </c>
      <c r="B16" s="27" t="s">
        <v>558</v>
      </c>
      <c r="C16" s="39">
        <v>0</v>
      </c>
      <c r="D16" s="40">
        <v>0</v>
      </c>
      <c r="E16" s="40">
        <v>0</v>
      </c>
      <c r="F16" s="40">
        <v>0</v>
      </c>
      <c r="G16" s="39">
        <v>0</v>
      </c>
      <c r="H16" s="40">
        <v>14.5</v>
      </c>
      <c r="I16" s="40">
        <v>4.4</v>
      </c>
      <c r="J16" s="41">
        <v>4.7</v>
      </c>
      <c r="K16" s="39">
        <v>1.9</v>
      </c>
      <c r="L16" s="40">
        <v>2.4</v>
      </c>
      <c r="M16" s="40">
        <v>0.2</v>
      </c>
      <c r="N16" s="41">
        <v>0.4</v>
      </c>
      <c r="O16" s="39">
        <v>0.4</v>
      </c>
      <c r="P16" s="40">
        <v>1.9</v>
      </c>
      <c r="Q16" s="40">
        <v>0.1</v>
      </c>
      <c r="R16" s="41">
        <v>0.1</v>
      </c>
      <c r="S16" s="39">
        <v>4.3</v>
      </c>
      <c r="T16" s="40">
        <v>2.9</v>
      </c>
      <c r="U16" s="40">
        <v>0.2</v>
      </c>
      <c r="V16" s="41">
        <v>3.4</v>
      </c>
      <c r="W16" s="39">
        <v>1.1</v>
      </c>
      <c r="X16" s="40">
        <v>0</v>
      </c>
      <c r="Y16" s="40">
        <v>0</v>
      </c>
      <c r="Z16" s="41">
        <v>0.4</v>
      </c>
      <c r="AA16" s="40">
        <v>0</v>
      </c>
      <c r="AB16" s="40">
        <v>0</v>
      </c>
      <c r="AC16" s="40">
        <v>0</v>
      </c>
      <c r="AD16" s="41">
        <v>0</v>
      </c>
      <c r="AE16" s="39">
        <v>0</v>
      </c>
      <c r="AF16" s="40">
        <v>0</v>
      </c>
      <c r="AG16" s="41">
        <v>0</v>
      </c>
      <c r="AH16" s="87"/>
      <c r="AI16" s="312"/>
      <c r="AK16" s="87"/>
      <c r="AL16" s="87"/>
      <c r="AN16" s="87"/>
      <c r="AO16" s="87"/>
    </row>
    <row r="17" spans="1:41" s="9" customFormat="1" ht="12.75">
      <c r="A17" s="103" t="s">
        <v>255</v>
      </c>
      <c r="B17" s="103" t="s">
        <v>63</v>
      </c>
      <c r="C17" s="39">
        <v>1.3</v>
      </c>
      <c r="D17" s="40">
        <v>3.6</v>
      </c>
      <c r="E17" s="40">
        <f>4.4-0.1</f>
        <v>4.300000000000001</v>
      </c>
      <c r="F17" s="40">
        <v>1.5</v>
      </c>
      <c r="G17" s="39">
        <v>1.9</v>
      </c>
      <c r="H17" s="40">
        <v>7.800000000000001</v>
      </c>
      <c r="I17" s="40">
        <v>5.2</v>
      </c>
      <c r="J17" s="41">
        <v>3.6999999999999997</v>
      </c>
      <c r="K17" s="39">
        <v>3.9</v>
      </c>
      <c r="L17" s="40">
        <v>9.1</v>
      </c>
      <c r="M17" s="40">
        <v>6.9</v>
      </c>
      <c r="N17" s="41">
        <v>3</v>
      </c>
      <c r="O17" s="39">
        <v>5.8</v>
      </c>
      <c r="P17" s="40">
        <v>3.9</v>
      </c>
      <c r="Q17" s="40">
        <v>8.2</v>
      </c>
      <c r="R17" s="41">
        <v>0.7</v>
      </c>
      <c r="S17" s="39">
        <v>4.6</v>
      </c>
      <c r="T17" s="40">
        <v>4.4</v>
      </c>
      <c r="U17" s="40">
        <v>5.7</v>
      </c>
      <c r="V17" s="41">
        <v>4.7</v>
      </c>
      <c r="W17" s="39">
        <f>3.8-0.4</f>
        <v>3.4</v>
      </c>
      <c r="X17" s="40">
        <f>7.2-0.3+1.2-0.8</f>
        <v>7.3</v>
      </c>
      <c r="Y17" s="40">
        <f>5.1</f>
        <v>5.1</v>
      </c>
      <c r="Z17" s="41">
        <f>5.3</f>
        <v>5.3</v>
      </c>
      <c r="AA17" s="40">
        <f>5.8-1.8</f>
        <v>4</v>
      </c>
      <c r="AB17" s="40">
        <v>2.6</v>
      </c>
      <c r="AC17" s="40">
        <v>3.2</v>
      </c>
      <c r="AD17" s="41">
        <v>6.3</v>
      </c>
      <c r="AE17" s="39">
        <v>3.5</v>
      </c>
      <c r="AF17" s="40">
        <v>8</v>
      </c>
      <c r="AG17" s="41">
        <v>9.5</v>
      </c>
      <c r="AH17" s="87"/>
      <c r="AI17" s="312"/>
      <c r="AJ17" s="3"/>
      <c r="AK17" s="87"/>
      <c r="AL17" s="87"/>
      <c r="AN17" s="87"/>
      <c r="AO17" s="87"/>
    </row>
    <row r="18" spans="1:41" ht="12.75">
      <c r="A18" s="101" t="s">
        <v>530</v>
      </c>
      <c r="B18" s="101" t="s">
        <v>61</v>
      </c>
      <c r="C18" s="46">
        <f aca="true" t="shared" si="0" ref="C18:AB18">SUM(C6:C17)</f>
        <v>239</v>
      </c>
      <c r="D18" s="47">
        <f t="shared" si="0"/>
        <v>248.50000000000003</v>
      </c>
      <c r="E18" s="47">
        <f t="shared" si="0"/>
        <v>251.79999999999995</v>
      </c>
      <c r="F18" s="47">
        <f t="shared" si="0"/>
        <v>241.49999999999997</v>
      </c>
      <c r="G18" s="46">
        <f t="shared" si="0"/>
        <v>228.79999999999995</v>
      </c>
      <c r="H18" s="47">
        <f t="shared" si="0"/>
        <v>235.70000000000002</v>
      </c>
      <c r="I18" s="47">
        <f t="shared" si="0"/>
        <v>244.7</v>
      </c>
      <c r="J18" s="48">
        <f t="shared" si="0"/>
        <v>268.49999999999994</v>
      </c>
      <c r="K18" s="46">
        <f t="shared" si="0"/>
        <v>256.09999999999997</v>
      </c>
      <c r="L18" s="47">
        <f t="shared" si="0"/>
        <v>275.30000000000007</v>
      </c>
      <c r="M18" s="47">
        <f t="shared" si="0"/>
        <v>278</v>
      </c>
      <c r="N18" s="48">
        <f t="shared" si="0"/>
        <v>275.7</v>
      </c>
      <c r="O18" s="46">
        <f t="shared" si="0"/>
        <v>264.1</v>
      </c>
      <c r="P18" s="47">
        <f t="shared" si="0"/>
        <v>277.59999999999997</v>
      </c>
      <c r="Q18" s="47">
        <f t="shared" si="0"/>
        <v>287.2</v>
      </c>
      <c r="R18" s="48">
        <f t="shared" si="0"/>
        <v>288.2</v>
      </c>
      <c r="S18" s="46">
        <f t="shared" si="0"/>
        <v>285.90000000000003</v>
      </c>
      <c r="T18" s="47">
        <f t="shared" si="0"/>
        <v>295.69999999999993</v>
      </c>
      <c r="U18" s="47">
        <f t="shared" si="0"/>
        <v>297.69999999999993</v>
      </c>
      <c r="V18" s="48">
        <f t="shared" si="0"/>
        <v>290.79999999999995</v>
      </c>
      <c r="W18" s="46">
        <f t="shared" si="0"/>
        <v>280.7</v>
      </c>
      <c r="X18" s="47">
        <f t="shared" si="0"/>
        <v>285.40000000000003</v>
      </c>
      <c r="Y18" s="47">
        <f t="shared" si="0"/>
        <v>283.80000000000007</v>
      </c>
      <c r="Z18" s="48">
        <f t="shared" si="0"/>
        <v>292.6</v>
      </c>
      <c r="AA18" s="47">
        <f t="shared" si="0"/>
        <v>271.00000000000006</v>
      </c>
      <c r="AB18" s="47">
        <f t="shared" si="0"/>
        <v>283.20000000000005</v>
      </c>
      <c r="AC18" s="47">
        <f>SUM(AC6:AC17)</f>
        <v>267</v>
      </c>
      <c r="AD18" s="48">
        <f>SUM(AD6:AD17)</f>
        <v>291.7</v>
      </c>
      <c r="AE18" s="46">
        <f>SUM(AE6:AE17)</f>
        <v>296.79999999999995</v>
      </c>
      <c r="AF18" s="47">
        <f>SUM(AF6:AF17)</f>
        <v>305.79999999999995</v>
      </c>
      <c r="AG18" s="48">
        <f>SUM(AG6:AG17)</f>
        <v>286.4</v>
      </c>
      <c r="AH18" s="87"/>
      <c r="AK18" s="87"/>
      <c r="AL18" s="87"/>
      <c r="AN18" s="87"/>
      <c r="AO18" s="87"/>
    </row>
    <row r="19" spans="1:41" ht="12.75">
      <c r="A19" s="103"/>
      <c r="B19" s="103"/>
      <c r="C19" s="39"/>
      <c r="D19" s="40"/>
      <c r="E19" s="40"/>
      <c r="F19" s="40"/>
      <c r="G19" s="39"/>
      <c r="H19" s="40"/>
      <c r="I19" s="40"/>
      <c r="J19" s="41"/>
      <c r="K19" s="39"/>
      <c r="L19" s="40"/>
      <c r="M19" s="40"/>
      <c r="N19" s="41"/>
      <c r="O19" s="39"/>
      <c r="P19" s="40"/>
      <c r="Q19" s="40"/>
      <c r="R19" s="41"/>
      <c r="S19" s="39"/>
      <c r="T19" s="40"/>
      <c r="U19" s="40"/>
      <c r="V19" s="41"/>
      <c r="W19" s="39"/>
      <c r="X19" s="40"/>
      <c r="Y19" s="40"/>
      <c r="Z19" s="41"/>
      <c r="AA19" s="40"/>
      <c r="AB19" s="40"/>
      <c r="AC19" s="40"/>
      <c r="AD19" s="41"/>
      <c r="AE19" s="46"/>
      <c r="AF19" s="40"/>
      <c r="AG19" s="41"/>
      <c r="AH19" s="87"/>
      <c r="AK19" s="87"/>
      <c r="AL19" s="87"/>
      <c r="AN19" s="87"/>
      <c r="AO19" s="87"/>
    </row>
    <row r="20" spans="1:41" ht="12.75">
      <c r="A20" s="101" t="s">
        <v>531</v>
      </c>
      <c r="B20" s="101" t="s">
        <v>64</v>
      </c>
      <c r="C20" s="46">
        <f>16.7-1</f>
        <v>15.7</v>
      </c>
      <c r="D20" s="47">
        <f>15.2-1</f>
        <v>14.2</v>
      </c>
      <c r="E20" s="47">
        <f>21.1-1</f>
        <v>20.1</v>
      </c>
      <c r="F20" s="47">
        <f>29-1</f>
        <v>28</v>
      </c>
      <c r="G20" s="46">
        <f>22.1-1.2</f>
        <v>20.900000000000002</v>
      </c>
      <c r="H20" s="47">
        <f>19.9-1.2</f>
        <v>18.7</v>
      </c>
      <c r="I20" s="47">
        <f>16.4-1.2</f>
        <v>15.2</v>
      </c>
      <c r="J20" s="48">
        <f>29.6-1.2</f>
        <v>28.400000000000002</v>
      </c>
      <c r="K20" s="46">
        <f>22.1-4.1</f>
        <v>18</v>
      </c>
      <c r="L20" s="47">
        <f>25.4-4.1</f>
        <v>21.299999999999997</v>
      </c>
      <c r="M20" s="47">
        <f>25-4.1</f>
        <v>20.9</v>
      </c>
      <c r="N20" s="48">
        <f>48.2-4.1</f>
        <v>44.1</v>
      </c>
      <c r="O20" s="46">
        <f>35.6-3.9</f>
        <v>31.700000000000003</v>
      </c>
      <c r="P20" s="47">
        <f>30.7-3.9</f>
        <v>26.8</v>
      </c>
      <c r="Q20" s="47">
        <f>31.6-3.9</f>
        <v>27.700000000000003</v>
      </c>
      <c r="R20" s="48">
        <f>31.9-3.9</f>
        <v>28</v>
      </c>
      <c r="S20" s="46">
        <f>34.5-9.1</f>
        <v>25.4</v>
      </c>
      <c r="T20" s="47">
        <f>37.3-9.1</f>
        <v>28.199999999999996</v>
      </c>
      <c r="U20" s="47">
        <f>36.3-9.1</f>
        <v>27.199999999999996</v>
      </c>
      <c r="V20" s="48">
        <f>40.8-9.1</f>
        <v>31.699999999999996</v>
      </c>
      <c r="W20" s="46">
        <f>33.7-11</f>
        <v>22.700000000000003</v>
      </c>
      <c r="X20" s="47">
        <f>35-11</f>
        <v>24</v>
      </c>
      <c r="Y20" s="47">
        <f>32.6-11</f>
        <v>21.6</v>
      </c>
      <c r="Z20" s="48">
        <f>36.9-11</f>
        <v>25.9</v>
      </c>
      <c r="AA20" s="47">
        <f>31.5-11.3-0.3</f>
        <v>19.9</v>
      </c>
      <c r="AB20" s="47">
        <f>33.8-11.4-0.2</f>
        <v>22.2</v>
      </c>
      <c r="AC20" s="47">
        <f>33.6-11.3-0.3</f>
        <v>22</v>
      </c>
      <c r="AD20" s="48">
        <f>38.7-11.3-0.5</f>
        <v>26.900000000000002</v>
      </c>
      <c r="AE20" s="47">
        <f>21.6-0.9</f>
        <v>20.700000000000003</v>
      </c>
      <c r="AF20" s="47">
        <v>26.2</v>
      </c>
      <c r="AG20" s="48">
        <v>28.1</v>
      </c>
      <c r="AH20" s="87"/>
      <c r="AK20" s="87"/>
      <c r="AL20" s="87"/>
      <c r="AN20" s="87"/>
      <c r="AO20" s="87"/>
    </row>
    <row r="21" spans="1:41" ht="12.75">
      <c r="A21" s="103" t="s">
        <v>271</v>
      </c>
      <c r="B21" s="103" t="s">
        <v>65</v>
      </c>
      <c r="C21" s="39">
        <f>1-1</f>
        <v>0</v>
      </c>
      <c r="D21" s="40">
        <f>1-1</f>
        <v>0</v>
      </c>
      <c r="E21" s="40">
        <f>1-1</f>
        <v>0</v>
      </c>
      <c r="F21" s="40">
        <f>1-1</f>
        <v>0</v>
      </c>
      <c r="G21" s="39">
        <f>1.2-1.2</f>
        <v>0</v>
      </c>
      <c r="H21" s="40">
        <f>1.2-1.2</f>
        <v>0</v>
      </c>
      <c r="I21" s="40">
        <f>1.2-1.2</f>
        <v>0</v>
      </c>
      <c r="J21" s="41">
        <f>1.2-1.2</f>
        <v>0</v>
      </c>
      <c r="K21" s="39">
        <f>4.1-4.1</f>
        <v>0</v>
      </c>
      <c r="L21" s="40">
        <f>4.1-4.1</f>
        <v>0</v>
      </c>
      <c r="M21" s="40">
        <f>4.1-4.1</f>
        <v>0</v>
      </c>
      <c r="N21" s="41">
        <f>4.1-4.1</f>
        <v>0</v>
      </c>
      <c r="O21" s="39">
        <f>3.9-3.9</f>
        <v>0</v>
      </c>
      <c r="P21" s="40">
        <f>3.9-3.9</f>
        <v>0</v>
      </c>
      <c r="Q21" s="40">
        <f>3.9-3.9</f>
        <v>0</v>
      </c>
      <c r="R21" s="41">
        <f>3.9-3.9</f>
        <v>0</v>
      </c>
      <c r="S21" s="39">
        <f>9.1-9.1</f>
        <v>0</v>
      </c>
      <c r="T21" s="40">
        <f>9.1-9.1</f>
        <v>0</v>
      </c>
      <c r="U21" s="40">
        <f>9.1-9.1</f>
        <v>0</v>
      </c>
      <c r="V21" s="41">
        <f>9.1-9.1</f>
        <v>0</v>
      </c>
      <c r="W21" s="39">
        <f>11-11</f>
        <v>0</v>
      </c>
      <c r="X21" s="40">
        <f>11-11</f>
        <v>0</v>
      </c>
      <c r="Y21" s="40">
        <f>11-11</f>
        <v>0</v>
      </c>
      <c r="Z21" s="41">
        <f>11-11</f>
        <v>0</v>
      </c>
      <c r="AA21" s="40">
        <f>11.3-11.3</f>
        <v>0</v>
      </c>
      <c r="AB21" s="40">
        <f>11.4-11.4</f>
        <v>0</v>
      </c>
      <c r="AC21" s="40">
        <f>11.3-11.3</f>
        <v>0</v>
      </c>
      <c r="AD21" s="41">
        <f>11.3-11.3</f>
        <v>0</v>
      </c>
      <c r="AE21" s="40">
        <v>0</v>
      </c>
      <c r="AF21" s="40">
        <v>0</v>
      </c>
      <c r="AG21" s="41">
        <v>0</v>
      </c>
      <c r="AH21" s="87"/>
      <c r="AI21" s="13"/>
      <c r="AJ21" s="13"/>
      <c r="AK21" s="87"/>
      <c r="AL21" s="87"/>
      <c r="AN21" s="87"/>
      <c r="AO21" s="87"/>
    </row>
    <row r="22" spans="1:41" ht="12.75">
      <c r="A22" s="104"/>
      <c r="B22" s="104"/>
      <c r="C22" s="39"/>
      <c r="D22" s="40"/>
      <c r="E22" s="40"/>
      <c r="F22" s="40"/>
      <c r="G22" s="39"/>
      <c r="H22" s="40"/>
      <c r="I22" s="40"/>
      <c r="J22" s="41"/>
      <c r="K22" s="39"/>
      <c r="L22" s="40"/>
      <c r="M22" s="40"/>
      <c r="N22" s="41"/>
      <c r="O22" s="39"/>
      <c r="P22" s="40"/>
      <c r="Q22" s="40"/>
      <c r="R22" s="41"/>
      <c r="S22" s="39"/>
      <c r="T22" s="40"/>
      <c r="U22" s="40"/>
      <c r="V22" s="41"/>
      <c r="W22" s="39"/>
      <c r="X22" s="40"/>
      <c r="Y22" s="40"/>
      <c r="Z22" s="41"/>
      <c r="AA22" s="40"/>
      <c r="AB22" s="40"/>
      <c r="AC22" s="40"/>
      <c r="AD22" s="41"/>
      <c r="AE22" s="40"/>
      <c r="AF22" s="40"/>
      <c r="AG22" s="41"/>
      <c r="AH22" s="87"/>
      <c r="AK22" s="87"/>
      <c r="AL22" s="87"/>
      <c r="AN22" s="87"/>
      <c r="AO22" s="87"/>
    </row>
    <row r="23" spans="1:41" s="13" customFormat="1" ht="12.75">
      <c r="A23" s="105" t="s">
        <v>191</v>
      </c>
      <c r="B23" s="105" t="s">
        <v>59</v>
      </c>
      <c r="C23" s="94">
        <f>C18-C20</f>
        <v>223.3</v>
      </c>
      <c r="D23" s="95">
        <f aca="true" t="shared" si="1" ref="D23:W23">D18-D20</f>
        <v>234.30000000000004</v>
      </c>
      <c r="E23" s="95">
        <f>E18-E20</f>
        <v>231.69999999999996</v>
      </c>
      <c r="F23" s="95">
        <f t="shared" si="1"/>
        <v>213.49999999999997</v>
      </c>
      <c r="G23" s="94">
        <f t="shared" si="1"/>
        <v>207.89999999999995</v>
      </c>
      <c r="H23" s="95">
        <f t="shared" si="1"/>
        <v>217.00000000000003</v>
      </c>
      <c r="I23" s="95">
        <f t="shared" si="1"/>
        <v>229.5</v>
      </c>
      <c r="J23" s="96">
        <f t="shared" si="1"/>
        <v>240.09999999999994</v>
      </c>
      <c r="K23" s="94">
        <f t="shared" si="1"/>
        <v>238.09999999999997</v>
      </c>
      <c r="L23" s="95">
        <f t="shared" si="1"/>
        <v>254.00000000000006</v>
      </c>
      <c r="M23" s="95">
        <f t="shared" si="1"/>
        <v>257.1</v>
      </c>
      <c r="N23" s="96">
        <f t="shared" si="1"/>
        <v>231.6</v>
      </c>
      <c r="O23" s="94">
        <f t="shared" si="1"/>
        <v>232.40000000000003</v>
      </c>
      <c r="P23" s="95">
        <f t="shared" si="1"/>
        <v>250.79999999999995</v>
      </c>
      <c r="Q23" s="95">
        <f t="shared" si="1"/>
        <v>259.5</v>
      </c>
      <c r="R23" s="96">
        <f t="shared" si="1"/>
        <v>260.2</v>
      </c>
      <c r="S23" s="94">
        <f t="shared" si="1"/>
        <v>260.50000000000006</v>
      </c>
      <c r="T23" s="95">
        <f t="shared" si="1"/>
        <v>267.49999999999994</v>
      </c>
      <c r="U23" s="95">
        <f t="shared" si="1"/>
        <v>270.49999999999994</v>
      </c>
      <c r="V23" s="96">
        <f t="shared" si="1"/>
        <v>259.09999999999997</v>
      </c>
      <c r="W23" s="94">
        <f t="shared" si="1"/>
        <v>258</v>
      </c>
      <c r="X23" s="95">
        <f aca="true" t="shared" si="2" ref="X23:AG23">X18-X20</f>
        <v>261.40000000000003</v>
      </c>
      <c r="Y23" s="95">
        <f t="shared" si="2"/>
        <v>262.20000000000005</v>
      </c>
      <c r="Z23" s="96">
        <f t="shared" si="2"/>
        <v>266.70000000000005</v>
      </c>
      <c r="AA23" s="94">
        <f t="shared" si="2"/>
        <v>251.10000000000005</v>
      </c>
      <c r="AB23" s="95">
        <f t="shared" si="2"/>
        <v>261.00000000000006</v>
      </c>
      <c r="AC23" s="95">
        <f t="shared" si="2"/>
        <v>245</v>
      </c>
      <c r="AD23" s="96">
        <f t="shared" si="2"/>
        <v>264.8</v>
      </c>
      <c r="AE23" s="94">
        <f t="shared" si="2"/>
        <v>276.09999999999997</v>
      </c>
      <c r="AF23" s="95">
        <f t="shared" si="2"/>
        <v>279.59999999999997</v>
      </c>
      <c r="AG23" s="95">
        <f t="shared" si="2"/>
        <v>258.29999999999995</v>
      </c>
      <c r="AH23" s="87"/>
      <c r="AI23" s="3"/>
      <c r="AJ23" s="3"/>
      <c r="AK23" s="87"/>
      <c r="AL23" s="87"/>
      <c r="AN23" s="87"/>
      <c r="AO23" s="87"/>
    </row>
    <row r="24" spans="1:2" ht="12.75">
      <c r="A24" s="3"/>
      <c r="B24" s="3"/>
    </row>
    <row r="25" spans="1:34" ht="12.75">
      <c r="A25" s="3"/>
      <c r="B25" s="3"/>
      <c r="AA25" s="97"/>
      <c r="AB25" s="97"/>
      <c r="AC25" s="97"/>
      <c r="AD25" s="97"/>
      <c r="AE25" s="97"/>
      <c r="AF25" s="97"/>
      <c r="AG25" s="97"/>
      <c r="AH25" s="97"/>
    </row>
    <row r="26" spans="1:34" ht="12.75">
      <c r="A26" s="3"/>
      <c r="B26" s="3"/>
      <c r="AA26" s="97"/>
      <c r="AB26" s="97"/>
      <c r="AC26" s="97"/>
      <c r="AD26" s="97"/>
      <c r="AE26" s="97"/>
      <c r="AF26" s="97"/>
      <c r="AG26" s="97"/>
      <c r="AH26" s="97"/>
    </row>
    <row r="27" spans="1:34" ht="12.75">
      <c r="A27" s="3"/>
      <c r="B27" s="3"/>
      <c r="AA27" s="97"/>
      <c r="AB27" s="97"/>
      <c r="AC27" s="97"/>
      <c r="AD27" s="97"/>
      <c r="AE27" s="97"/>
      <c r="AF27" s="97"/>
      <c r="AG27" s="97"/>
      <c r="AH27" s="97"/>
    </row>
    <row r="28" spans="1:33" ht="12.75">
      <c r="A28" s="3"/>
      <c r="B28" s="3"/>
      <c r="AA28" s="97"/>
      <c r="AB28" s="97"/>
      <c r="AC28" s="97"/>
      <c r="AD28" s="97"/>
      <c r="AE28" s="97"/>
      <c r="AF28" s="97"/>
      <c r="AG28" s="97"/>
    </row>
    <row r="29" spans="1:2" ht="12.75">
      <c r="A29" s="3"/>
      <c r="B29" s="3"/>
    </row>
    <row r="30" spans="1:2" ht="12.75">
      <c r="A30" s="3"/>
      <c r="B30" s="3"/>
    </row>
    <row r="31" spans="1:2" ht="12.75">
      <c r="A31" s="3"/>
      <c r="B31" s="3"/>
    </row>
    <row r="32" spans="1:2" ht="12.75">
      <c r="A32" s="3"/>
      <c r="B32" s="3"/>
    </row>
    <row r="33" spans="1:2" ht="12.75">
      <c r="A33" s="3"/>
      <c r="B33" s="3"/>
    </row>
    <row r="34" spans="1:2" ht="12.75">
      <c r="A34" s="3"/>
      <c r="B34" s="3"/>
    </row>
    <row r="35" spans="1:2" ht="12.75">
      <c r="A35" s="3"/>
      <c r="B35" s="3"/>
    </row>
    <row r="36" spans="1:2" ht="12.75">
      <c r="A36" s="3"/>
      <c r="B36" s="3"/>
    </row>
    <row r="37" spans="1:2" ht="12.75">
      <c r="A37" s="3"/>
      <c r="B37" s="3"/>
    </row>
  </sheetData>
  <sheetProtection/>
  <mergeCells count="10">
    <mergeCell ref="AE2:AG2"/>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horizontalDpi="600" verticalDpi="600" orientation="landscape" paperSize="9" scale="70" r:id="rId1"/>
  <headerFooter alignWithMargins="0">
    <oddHeader>&amp;C&amp;"Times New Roman,Kursywa"&amp;12
</oddHeader>
  </headerFooter>
  <ignoredErrors>
    <ignoredError sqref="AB21" formula="1"/>
  </ignoredErrors>
</worksheet>
</file>

<file path=xl/worksheets/sheet7.xml><?xml version="1.0" encoding="utf-8"?>
<worksheet xmlns="http://schemas.openxmlformats.org/spreadsheetml/2006/main" xmlns:r="http://schemas.openxmlformats.org/officeDocument/2006/relationships">
  <dimension ref="A1:AO39"/>
  <sheetViews>
    <sheetView showGridLines="0" view="pageBreakPreview" zoomScaleSheetLayoutView="100" zoomScalePageLayoutView="80" workbookViewId="0" topLeftCell="A1">
      <pane xSplit="2" ySplit="3" topLeftCell="J4" activePane="bottomRight" state="frozen"/>
      <selection pane="topLeft" activeCell="B2" sqref="B2:B3"/>
      <selection pane="topRight" activeCell="B2" sqref="B2:B3"/>
      <selection pane="bottomLeft" activeCell="B2" sqref="B2:B3"/>
      <selection pane="bottomRight" activeCell="A2" sqref="A2:A3"/>
    </sheetView>
  </sheetViews>
  <sheetFormatPr defaultColWidth="9.00390625" defaultRowHeight="12.75" outlineLevelCol="1"/>
  <cols>
    <col min="1" max="1" width="54.125" style="2" customWidth="1"/>
    <col min="2" max="2" width="54.125" style="2" hidden="1" customWidth="1" outlineLevel="1"/>
    <col min="3" max="3" width="4.50390625" style="3" customWidth="1" collapsed="1"/>
    <col min="4" max="4" width="4.50390625" style="3" customWidth="1"/>
    <col min="5" max="8" width="5.50390625" style="3" customWidth="1"/>
    <col min="9" max="10" width="6.00390625" style="3" customWidth="1"/>
    <col min="11" max="11" width="6.625" style="3" customWidth="1"/>
    <col min="12" max="15" width="6.00390625" style="3" customWidth="1"/>
    <col min="16" max="16" width="5.50390625" style="3" customWidth="1"/>
    <col min="17" max="19" width="6.00390625" style="3" customWidth="1"/>
    <col min="20" max="20" width="5.50390625" style="3" customWidth="1"/>
    <col min="21" max="21" width="6.00390625" style="3" customWidth="1"/>
    <col min="22" max="22" width="5.125" style="3" customWidth="1"/>
    <col min="23" max="24" width="6.00390625" style="3" customWidth="1"/>
    <col min="25" max="25" width="5.125" style="3" customWidth="1"/>
    <col min="26" max="26" width="4.50390625" style="3" customWidth="1"/>
    <col min="27" max="28" width="5.50390625" style="3" bestFit="1" customWidth="1"/>
    <col min="29" max="32" width="4.50390625" style="3" bestFit="1" customWidth="1"/>
    <col min="33" max="33" width="5.125" style="3" bestFit="1" customWidth="1"/>
    <col min="34" max="16384" width="8.875" style="3" customWidth="1"/>
  </cols>
  <sheetData>
    <row r="1" spans="1:26" ht="12.75">
      <c r="A1" s="259" t="s">
        <v>585</v>
      </c>
      <c r="B1" s="259" t="s">
        <v>586</v>
      </c>
      <c r="X1" s="4"/>
      <c r="Y1" s="4"/>
      <c r="Z1" s="4"/>
    </row>
    <row r="2" spans="1:38" ht="12.75">
      <c r="A2" s="343" t="s">
        <v>291</v>
      </c>
      <c r="B2" s="343" t="s">
        <v>67</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2"/>
      <c r="AA2" s="340">
        <v>2013</v>
      </c>
      <c r="AB2" s="341"/>
      <c r="AC2" s="341"/>
      <c r="AD2" s="36"/>
      <c r="AE2" s="340">
        <v>2014</v>
      </c>
      <c r="AF2" s="341"/>
      <c r="AG2" s="341"/>
      <c r="AJ2" s="4"/>
      <c r="AK2" s="4"/>
      <c r="AL2" s="4"/>
    </row>
    <row r="3" spans="1:33" s="4" customFormat="1" ht="12.75">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6" t="s">
        <v>183</v>
      </c>
      <c r="AA3" s="35" t="s">
        <v>180</v>
      </c>
      <c r="AB3" s="35" t="s">
        <v>181</v>
      </c>
      <c r="AC3" s="35" t="s">
        <v>182</v>
      </c>
      <c r="AD3" s="36" t="s">
        <v>183</v>
      </c>
      <c r="AE3" s="285" t="s">
        <v>180</v>
      </c>
      <c r="AF3" s="35" t="s">
        <v>181</v>
      </c>
      <c r="AG3" s="35" t="s">
        <v>182</v>
      </c>
    </row>
    <row r="4" spans="1:38" s="4" customFormat="1" ht="12.75" customHeight="1">
      <c r="A4" s="20" t="s">
        <v>185</v>
      </c>
      <c r="B4" s="20" t="s">
        <v>12</v>
      </c>
      <c r="C4" s="16"/>
      <c r="D4" s="6"/>
      <c r="E4" s="5"/>
      <c r="F4" s="6"/>
      <c r="G4" s="16"/>
      <c r="H4" s="6"/>
      <c r="I4" s="5"/>
      <c r="J4" s="17"/>
      <c r="K4" s="16"/>
      <c r="L4" s="6"/>
      <c r="M4" s="5"/>
      <c r="N4" s="17"/>
      <c r="O4" s="16"/>
      <c r="P4" s="6"/>
      <c r="Q4" s="5"/>
      <c r="R4" s="17"/>
      <c r="S4" s="16"/>
      <c r="T4" s="6"/>
      <c r="U4" s="5"/>
      <c r="V4" s="17"/>
      <c r="W4" s="5"/>
      <c r="X4" s="5"/>
      <c r="Y4" s="5"/>
      <c r="Z4" s="18"/>
      <c r="AA4" s="5"/>
      <c r="AB4" s="5"/>
      <c r="AC4" s="5"/>
      <c r="AD4" s="18"/>
      <c r="AJ4" s="7"/>
      <c r="AK4" s="7"/>
      <c r="AL4" s="7"/>
    </row>
    <row r="5" spans="1:41" s="7" customFormat="1" ht="20.25">
      <c r="A5" s="89" t="s">
        <v>272</v>
      </c>
      <c r="B5" s="89" t="s">
        <v>68</v>
      </c>
      <c r="C5" s="46">
        <f>C6+C7+C8</f>
        <v>39.3</v>
      </c>
      <c r="D5" s="47">
        <f aca="true" t="shared" si="0" ref="D5:X5">D6+D7+D8</f>
        <v>-12.199999999999996</v>
      </c>
      <c r="E5" s="47">
        <f t="shared" si="0"/>
        <v>184.1</v>
      </c>
      <c r="F5" s="47">
        <f t="shared" si="0"/>
        <v>207.50000000000003</v>
      </c>
      <c r="G5" s="46">
        <f t="shared" si="0"/>
        <v>214.8</v>
      </c>
      <c r="H5" s="47">
        <f t="shared" si="0"/>
        <v>-101.3</v>
      </c>
      <c r="I5" s="47">
        <f t="shared" si="0"/>
        <v>-415.3</v>
      </c>
      <c r="J5" s="48">
        <f t="shared" si="0"/>
        <v>230.7</v>
      </c>
      <c r="K5" s="46">
        <f t="shared" si="0"/>
        <v>2813.3000000000006</v>
      </c>
      <c r="L5" s="47">
        <f t="shared" si="0"/>
        <v>-642.3</v>
      </c>
      <c r="M5" s="47">
        <f t="shared" si="0"/>
        <v>-419</v>
      </c>
      <c r="N5" s="48">
        <f t="shared" si="0"/>
        <v>-275.99999999999994</v>
      </c>
      <c r="O5" s="46">
        <f t="shared" si="0"/>
        <v>-207.2</v>
      </c>
      <c r="P5" s="47">
        <f t="shared" si="0"/>
        <v>207.39999999999998</v>
      </c>
      <c r="Q5" s="47">
        <f t="shared" si="0"/>
        <v>-135.20000000000002</v>
      </c>
      <c r="R5" s="48">
        <f t="shared" si="0"/>
        <v>-201.20000000000002</v>
      </c>
      <c r="S5" s="46">
        <f t="shared" si="0"/>
        <v>-157.20000000000002</v>
      </c>
      <c r="T5" s="47">
        <f t="shared" si="0"/>
        <v>114.19999999999999</v>
      </c>
      <c r="U5" s="47">
        <f t="shared" si="0"/>
        <v>-120.49999999999999</v>
      </c>
      <c r="V5" s="48">
        <f t="shared" si="0"/>
        <v>34.400000000000006</v>
      </c>
      <c r="W5" s="47">
        <f t="shared" si="0"/>
        <v>-82.60000000000001</v>
      </c>
      <c r="X5" s="47">
        <f t="shared" si="0"/>
        <v>-209.00000000000003</v>
      </c>
      <c r="Y5" s="47">
        <f aca="true" t="shared" si="1" ref="Y5:AG5">Y6+Y7+Y8</f>
        <v>-39.300000000000004</v>
      </c>
      <c r="Z5" s="48">
        <f t="shared" si="1"/>
        <v>19</v>
      </c>
      <c r="AA5" s="47">
        <f t="shared" si="1"/>
        <v>-74.3</v>
      </c>
      <c r="AB5" s="47">
        <f t="shared" si="1"/>
        <v>65.9</v>
      </c>
      <c r="AC5" s="47">
        <f t="shared" si="1"/>
        <v>86.4</v>
      </c>
      <c r="AD5" s="48">
        <f t="shared" si="1"/>
        <v>32.5</v>
      </c>
      <c r="AE5" s="47">
        <f t="shared" si="1"/>
        <v>16.200000000000003</v>
      </c>
      <c r="AF5" s="47">
        <f t="shared" si="1"/>
        <v>61.5</v>
      </c>
      <c r="AG5" s="47">
        <f t="shared" si="1"/>
        <v>-34.300000000000004</v>
      </c>
      <c r="AH5" s="87"/>
      <c r="AI5" s="87"/>
      <c r="AM5" s="87"/>
      <c r="AN5" s="87"/>
      <c r="AO5" s="87"/>
    </row>
    <row r="6" spans="1:41" s="7" customFormat="1" ht="12.75">
      <c r="A6" s="38" t="s">
        <v>273</v>
      </c>
      <c r="B6" s="38" t="s">
        <v>69</v>
      </c>
      <c r="C6" s="39">
        <v>-0.7</v>
      </c>
      <c r="D6" s="40">
        <v>2.1</v>
      </c>
      <c r="E6" s="40">
        <v>0.2</v>
      </c>
      <c r="F6" s="40">
        <v>-4.6</v>
      </c>
      <c r="G6" s="39">
        <v>-9.2</v>
      </c>
      <c r="H6" s="40">
        <v>-1.3</v>
      </c>
      <c r="I6" s="40">
        <v>-1.8</v>
      </c>
      <c r="J6" s="41">
        <v>-6.7</v>
      </c>
      <c r="K6" s="39">
        <v>-0.7</v>
      </c>
      <c r="L6" s="40">
        <v>2.8</v>
      </c>
      <c r="M6" s="40">
        <v>4.9</v>
      </c>
      <c r="N6" s="41">
        <v>-0.5</v>
      </c>
      <c r="O6" s="39">
        <v>0</v>
      </c>
      <c r="P6" s="40">
        <v>-0.3</v>
      </c>
      <c r="Q6" s="40">
        <v>1.9</v>
      </c>
      <c r="R6" s="41">
        <v>0</v>
      </c>
      <c r="S6" s="39">
        <v>-1</v>
      </c>
      <c r="T6" s="40">
        <v>-0.2</v>
      </c>
      <c r="U6" s="40">
        <v>-3.5</v>
      </c>
      <c r="V6" s="41">
        <v>0.6</v>
      </c>
      <c r="W6" s="40">
        <v>0</v>
      </c>
      <c r="X6" s="40">
        <v>0</v>
      </c>
      <c r="Y6" s="40">
        <v>0</v>
      </c>
      <c r="Z6" s="41">
        <v>0</v>
      </c>
      <c r="AA6" s="40">
        <v>0</v>
      </c>
      <c r="AB6" s="40">
        <v>0</v>
      </c>
      <c r="AC6" s="40">
        <v>0</v>
      </c>
      <c r="AD6" s="41">
        <v>0</v>
      </c>
      <c r="AE6" s="40">
        <v>0</v>
      </c>
      <c r="AF6" s="40">
        <v>0</v>
      </c>
      <c r="AG6" s="40">
        <v>0</v>
      </c>
      <c r="AH6" s="87"/>
      <c r="AI6" s="87"/>
      <c r="AM6" s="87"/>
      <c r="AN6" s="87"/>
      <c r="AO6" s="87"/>
    </row>
    <row r="7" spans="1:41" s="7" customFormat="1" ht="12.75">
      <c r="A7" s="38" t="s">
        <v>274</v>
      </c>
      <c r="B7" s="38" t="s">
        <v>70</v>
      </c>
      <c r="C7" s="39">
        <v>8</v>
      </c>
      <c r="D7" s="40">
        <v>-46.4</v>
      </c>
      <c r="E7" s="40">
        <v>5.7</v>
      </c>
      <c r="F7" s="40">
        <v>-16.4</v>
      </c>
      <c r="G7" s="39">
        <v>39.5</v>
      </c>
      <c r="H7" s="40">
        <v>-79.6</v>
      </c>
      <c r="I7" s="40">
        <v>71.5</v>
      </c>
      <c r="J7" s="41">
        <v>-113.9</v>
      </c>
      <c r="K7" s="39">
        <v>-5.5</v>
      </c>
      <c r="L7" s="40">
        <v>-8</v>
      </c>
      <c r="M7" s="40">
        <v>51.2</v>
      </c>
      <c r="N7" s="41">
        <v>20.6</v>
      </c>
      <c r="O7" s="39">
        <v>35.2</v>
      </c>
      <c r="P7" s="40">
        <v>7.3</v>
      </c>
      <c r="Q7" s="40">
        <v>3.3</v>
      </c>
      <c r="R7" s="41">
        <v>4.2</v>
      </c>
      <c r="S7" s="39">
        <v>8.9</v>
      </c>
      <c r="T7" s="40">
        <v>5</v>
      </c>
      <c r="U7" s="40">
        <v>4.4</v>
      </c>
      <c r="V7" s="41">
        <v>10.8</v>
      </c>
      <c r="W7" s="40">
        <v>11.6</v>
      </c>
      <c r="X7" s="40">
        <v>3.1</v>
      </c>
      <c r="Y7" s="40">
        <v>0.4</v>
      </c>
      <c r="Z7" s="41">
        <v>-0.2</v>
      </c>
      <c r="AA7" s="40">
        <v>6.4</v>
      </c>
      <c r="AB7" s="40">
        <v>11.4</v>
      </c>
      <c r="AC7" s="40">
        <v>5.9</v>
      </c>
      <c r="AD7" s="41">
        <v>3.4</v>
      </c>
      <c r="AE7" s="40">
        <v>0.1</v>
      </c>
      <c r="AF7" s="40">
        <v>1.5</v>
      </c>
      <c r="AG7" s="40">
        <v>1.4</v>
      </c>
      <c r="AH7" s="87"/>
      <c r="AI7" s="87"/>
      <c r="AJ7" s="4"/>
      <c r="AK7" s="4"/>
      <c r="AL7" s="4"/>
      <c r="AM7" s="87"/>
      <c r="AN7" s="87"/>
      <c r="AO7" s="87"/>
    </row>
    <row r="8" spans="1:41" s="4" customFormat="1" ht="12.75">
      <c r="A8" s="88" t="s">
        <v>275</v>
      </c>
      <c r="B8" s="88" t="s">
        <v>73</v>
      </c>
      <c r="C8" s="39">
        <f>SUM(C9:C11)</f>
        <v>32</v>
      </c>
      <c r="D8" s="40">
        <f aca="true" t="shared" si="2" ref="D8:X8">SUM(D9:D11)</f>
        <v>32.1</v>
      </c>
      <c r="E8" s="40">
        <f t="shared" si="2"/>
        <v>178.2</v>
      </c>
      <c r="F8" s="40">
        <f t="shared" si="2"/>
        <v>228.50000000000003</v>
      </c>
      <c r="G8" s="39">
        <f t="shared" si="2"/>
        <v>184.5</v>
      </c>
      <c r="H8" s="40">
        <f t="shared" si="2"/>
        <v>-20.400000000000006</v>
      </c>
      <c r="I8" s="40">
        <f t="shared" si="2"/>
        <v>-485</v>
      </c>
      <c r="J8" s="41">
        <f t="shared" si="2"/>
        <v>351.3</v>
      </c>
      <c r="K8" s="39">
        <f t="shared" si="2"/>
        <v>2819.5000000000005</v>
      </c>
      <c r="L8" s="40">
        <f t="shared" si="2"/>
        <v>-637.0999999999999</v>
      </c>
      <c r="M8" s="40">
        <f t="shared" si="2"/>
        <v>-475.1</v>
      </c>
      <c r="N8" s="41">
        <f t="shared" si="2"/>
        <v>-296.09999999999997</v>
      </c>
      <c r="O8" s="39">
        <f t="shared" si="2"/>
        <v>-242.39999999999998</v>
      </c>
      <c r="P8" s="40">
        <f t="shared" si="2"/>
        <v>200.39999999999998</v>
      </c>
      <c r="Q8" s="40">
        <f t="shared" si="2"/>
        <v>-140.4</v>
      </c>
      <c r="R8" s="41">
        <f t="shared" si="2"/>
        <v>-205.4</v>
      </c>
      <c r="S8" s="39">
        <f t="shared" si="2"/>
        <v>-165.10000000000002</v>
      </c>
      <c r="T8" s="40">
        <f t="shared" si="2"/>
        <v>109.39999999999999</v>
      </c>
      <c r="U8" s="40">
        <f t="shared" si="2"/>
        <v>-121.39999999999999</v>
      </c>
      <c r="V8" s="41">
        <f t="shared" si="2"/>
        <v>23.000000000000004</v>
      </c>
      <c r="W8" s="40">
        <f t="shared" si="2"/>
        <v>-94.2</v>
      </c>
      <c r="X8" s="40">
        <f t="shared" si="2"/>
        <v>-212.10000000000002</v>
      </c>
      <c r="Y8" s="40">
        <f aca="true" t="shared" si="3" ref="Y8:AG8">SUM(Y9:Y11)</f>
        <v>-39.7</v>
      </c>
      <c r="Z8" s="41">
        <f t="shared" si="3"/>
        <v>19.2</v>
      </c>
      <c r="AA8" s="40">
        <f t="shared" si="3"/>
        <v>-80.7</v>
      </c>
      <c r="AB8" s="40">
        <f t="shared" si="3"/>
        <v>54.5</v>
      </c>
      <c r="AC8" s="40">
        <f t="shared" si="3"/>
        <v>80.5</v>
      </c>
      <c r="AD8" s="41">
        <f t="shared" si="3"/>
        <v>29.099999999999998</v>
      </c>
      <c r="AE8" s="40">
        <f t="shared" si="3"/>
        <v>16.1</v>
      </c>
      <c r="AF8" s="40">
        <f t="shared" si="3"/>
        <v>60</v>
      </c>
      <c r="AG8" s="40">
        <f t="shared" si="3"/>
        <v>-35.7</v>
      </c>
      <c r="AH8" s="87"/>
      <c r="AI8" s="87"/>
      <c r="AJ8" s="66"/>
      <c r="AK8" s="66"/>
      <c r="AL8" s="66"/>
      <c r="AM8" s="87"/>
      <c r="AN8" s="87"/>
      <c r="AO8" s="87"/>
    </row>
    <row r="9" spans="1:41" s="66" customFormat="1" ht="12.75">
      <c r="A9" s="106" t="s">
        <v>276</v>
      </c>
      <c r="B9" s="106" t="s">
        <v>74</v>
      </c>
      <c r="C9" s="57">
        <v>32.4</v>
      </c>
      <c r="D9" s="58">
        <v>13.1</v>
      </c>
      <c r="E9" s="58">
        <v>190.6</v>
      </c>
      <c r="F9" s="58">
        <v>268.6</v>
      </c>
      <c r="G9" s="57">
        <v>198</v>
      </c>
      <c r="H9" s="58">
        <v>-88.9</v>
      </c>
      <c r="I9" s="58">
        <v>-457.8</v>
      </c>
      <c r="J9" s="59">
        <v>628</v>
      </c>
      <c r="K9" s="57">
        <v>2777.4</v>
      </c>
      <c r="L9" s="58">
        <v>-732.5</v>
      </c>
      <c r="M9" s="58">
        <v>-495.8</v>
      </c>
      <c r="N9" s="59">
        <v>-357.2</v>
      </c>
      <c r="O9" s="57">
        <v>-241.7</v>
      </c>
      <c r="P9" s="58">
        <v>179.2</v>
      </c>
      <c r="Q9" s="58">
        <v>-150.8</v>
      </c>
      <c r="R9" s="59">
        <v>-210.1</v>
      </c>
      <c r="S9" s="57">
        <v>-167.3</v>
      </c>
      <c r="T9" s="58">
        <v>98.6</v>
      </c>
      <c r="U9" s="58">
        <v>-143</v>
      </c>
      <c r="V9" s="59">
        <v>50.2</v>
      </c>
      <c r="W9" s="58">
        <v>-101</v>
      </c>
      <c r="X9" s="58">
        <v>-213.9</v>
      </c>
      <c r="Y9" s="58">
        <v>-53.4</v>
      </c>
      <c r="Z9" s="59">
        <v>12.2</v>
      </c>
      <c r="AA9" s="58">
        <v>-78.5</v>
      </c>
      <c r="AB9" s="58">
        <v>37.8</v>
      </c>
      <c r="AC9" s="58">
        <v>63.9</v>
      </c>
      <c r="AD9" s="59">
        <v>29.9</v>
      </c>
      <c r="AE9" s="58">
        <v>5.9</v>
      </c>
      <c r="AF9" s="58">
        <v>56.5</v>
      </c>
      <c r="AG9" s="58">
        <v>-39.5</v>
      </c>
      <c r="AH9" s="87"/>
      <c r="AI9" s="87"/>
      <c r="AM9" s="87"/>
      <c r="AN9" s="87"/>
      <c r="AO9" s="87"/>
    </row>
    <row r="10" spans="1:41" s="66" customFormat="1" ht="12.75">
      <c r="A10" s="107" t="s">
        <v>277</v>
      </c>
      <c r="B10" s="107" t="s">
        <v>75</v>
      </c>
      <c r="C10" s="57">
        <v>8.6</v>
      </c>
      <c r="D10" s="58">
        <v>4.7</v>
      </c>
      <c r="E10" s="58">
        <v>-15.9</v>
      </c>
      <c r="F10" s="58">
        <v>-48.7</v>
      </c>
      <c r="G10" s="57">
        <v>-27.8</v>
      </c>
      <c r="H10" s="58">
        <v>62.6</v>
      </c>
      <c r="I10" s="58">
        <v>-35.9</v>
      </c>
      <c r="J10" s="59">
        <v>-279.8</v>
      </c>
      <c r="K10" s="57">
        <v>38.3</v>
      </c>
      <c r="L10" s="58">
        <v>94.2</v>
      </c>
      <c r="M10" s="58">
        <v>21.7</v>
      </c>
      <c r="N10" s="59">
        <v>57.1</v>
      </c>
      <c r="O10" s="57">
        <v>-2.5</v>
      </c>
      <c r="P10" s="58">
        <v>19.7</v>
      </c>
      <c r="Q10" s="58">
        <v>10.5</v>
      </c>
      <c r="R10" s="59">
        <v>2.7</v>
      </c>
      <c r="S10" s="57">
        <v>0</v>
      </c>
      <c r="T10" s="58">
        <v>9.7</v>
      </c>
      <c r="U10" s="58">
        <v>17.2</v>
      </c>
      <c r="V10" s="59">
        <v>-27</v>
      </c>
      <c r="W10" s="58">
        <v>6.3</v>
      </c>
      <c r="X10" s="58">
        <v>1.2</v>
      </c>
      <c r="Y10" s="58">
        <v>13.2</v>
      </c>
      <c r="Z10" s="59">
        <v>6.3</v>
      </c>
      <c r="AA10" s="58">
        <v>-2.9</v>
      </c>
      <c r="AB10" s="58">
        <v>16</v>
      </c>
      <c r="AC10" s="58">
        <v>15.9</v>
      </c>
      <c r="AD10" s="59">
        <v>-1.5</v>
      </c>
      <c r="AE10" s="58">
        <v>9.6</v>
      </c>
      <c r="AF10" s="58">
        <v>3.2</v>
      </c>
      <c r="AG10" s="58">
        <v>3.5</v>
      </c>
      <c r="AH10" s="87"/>
      <c r="AI10" s="87"/>
      <c r="AM10" s="87"/>
      <c r="AN10" s="87"/>
      <c r="AO10" s="87"/>
    </row>
    <row r="11" spans="1:41" s="66" customFormat="1" ht="12.75">
      <c r="A11" s="106" t="s">
        <v>278</v>
      </c>
      <c r="B11" s="106" t="s">
        <v>71</v>
      </c>
      <c r="C11" s="57">
        <v>-9</v>
      </c>
      <c r="D11" s="58">
        <v>14.3</v>
      </c>
      <c r="E11" s="58">
        <v>3.5</v>
      </c>
      <c r="F11" s="58">
        <v>8.6</v>
      </c>
      <c r="G11" s="57">
        <v>14.3</v>
      </c>
      <c r="H11" s="58">
        <v>5.9</v>
      </c>
      <c r="I11" s="58">
        <v>8.7</v>
      </c>
      <c r="J11" s="59">
        <v>3.1</v>
      </c>
      <c r="K11" s="57">
        <v>3.8</v>
      </c>
      <c r="L11" s="58">
        <v>1.2</v>
      </c>
      <c r="M11" s="58">
        <v>-1</v>
      </c>
      <c r="N11" s="59">
        <v>4</v>
      </c>
      <c r="O11" s="57">
        <v>1.8</v>
      </c>
      <c r="P11" s="58">
        <v>1.5</v>
      </c>
      <c r="Q11" s="58">
        <v>-0.1</v>
      </c>
      <c r="R11" s="59">
        <v>2</v>
      </c>
      <c r="S11" s="57">
        <v>2.2</v>
      </c>
      <c r="T11" s="58">
        <v>1.1</v>
      </c>
      <c r="U11" s="58">
        <v>4.4</v>
      </c>
      <c r="V11" s="59">
        <v>-0.2</v>
      </c>
      <c r="W11" s="58">
        <v>0.5</v>
      </c>
      <c r="X11" s="58">
        <v>0.6</v>
      </c>
      <c r="Y11" s="58">
        <v>0.5</v>
      </c>
      <c r="Z11" s="59">
        <v>0.7</v>
      </c>
      <c r="AA11" s="58">
        <v>0.7</v>
      </c>
      <c r="AB11" s="58">
        <v>0.7</v>
      </c>
      <c r="AC11" s="58">
        <v>0.7</v>
      </c>
      <c r="AD11" s="59">
        <v>0.7</v>
      </c>
      <c r="AE11" s="58">
        <v>0.6</v>
      </c>
      <c r="AF11" s="58">
        <v>0.3</v>
      </c>
      <c r="AG11" s="58">
        <v>0.3</v>
      </c>
      <c r="AH11" s="87"/>
      <c r="AI11" s="87"/>
      <c r="AJ11" s="7"/>
      <c r="AK11" s="7"/>
      <c r="AL11" s="7"/>
      <c r="AM11" s="87"/>
      <c r="AN11" s="87"/>
      <c r="AO11" s="87"/>
    </row>
    <row r="12" spans="1:41" s="7" customFormat="1" ht="20.25">
      <c r="A12" s="89" t="s">
        <v>279</v>
      </c>
      <c r="B12" s="89" t="s">
        <v>76</v>
      </c>
      <c r="C12" s="39">
        <f aca="true" t="shared" si="4" ref="C12:X12">C13+C14</f>
        <v>0.8</v>
      </c>
      <c r="D12" s="40">
        <f t="shared" si="4"/>
        <v>2.3</v>
      </c>
      <c r="E12" s="40">
        <f t="shared" si="4"/>
        <v>0.4</v>
      </c>
      <c r="F12" s="41">
        <f t="shared" si="4"/>
        <v>2.9</v>
      </c>
      <c r="G12" s="40">
        <f t="shared" si="4"/>
        <v>17.9</v>
      </c>
      <c r="H12" s="40">
        <f t="shared" si="4"/>
        <v>-14.200000000000001</v>
      </c>
      <c r="I12" s="40">
        <f t="shared" si="4"/>
        <v>-6.1000000000000005</v>
      </c>
      <c r="J12" s="40">
        <f t="shared" si="4"/>
        <v>5.2</v>
      </c>
      <c r="K12" s="39">
        <f t="shared" si="4"/>
        <v>-1.7000000000000002</v>
      </c>
      <c r="L12" s="40">
        <f t="shared" si="4"/>
        <v>-0.2</v>
      </c>
      <c r="M12" s="40">
        <f t="shared" si="4"/>
        <v>0</v>
      </c>
      <c r="N12" s="41">
        <f t="shared" si="4"/>
        <v>-0.8</v>
      </c>
      <c r="O12" s="40">
        <f t="shared" si="4"/>
        <v>-0.2</v>
      </c>
      <c r="P12" s="40">
        <f t="shared" si="4"/>
        <v>-1.4</v>
      </c>
      <c r="Q12" s="40">
        <f t="shared" si="4"/>
        <v>-1.4</v>
      </c>
      <c r="R12" s="40">
        <f t="shared" si="4"/>
        <v>-1</v>
      </c>
      <c r="S12" s="39">
        <f t="shared" si="4"/>
        <v>-0.3</v>
      </c>
      <c r="T12" s="40">
        <f t="shared" si="4"/>
        <v>-0.5</v>
      </c>
      <c r="U12" s="40">
        <f t="shared" si="4"/>
        <v>0</v>
      </c>
      <c r="V12" s="41">
        <f t="shared" si="4"/>
        <v>0</v>
      </c>
      <c r="W12" s="40">
        <f t="shared" si="4"/>
        <v>0.6</v>
      </c>
      <c r="X12" s="40">
        <f t="shared" si="4"/>
        <v>-1.2</v>
      </c>
      <c r="Y12" s="40">
        <f>Y13+Y14</f>
        <v>0</v>
      </c>
      <c r="Z12" s="41">
        <f>Z13+Z14</f>
        <v>0</v>
      </c>
      <c r="AA12" s="40">
        <f>AA13+AA14</f>
        <v>0</v>
      </c>
      <c r="AB12" s="40">
        <f>AB13+AB14</f>
        <v>0</v>
      </c>
      <c r="AC12" s="40">
        <f>AC13+AC14</f>
        <v>0</v>
      </c>
      <c r="AD12" s="41">
        <v>0</v>
      </c>
      <c r="AE12" s="40">
        <v>0</v>
      </c>
      <c r="AF12" s="40">
        <v>0</v>
      </c>
      <c r="AG12" s="40">
        <v>0</v>
      </c>
      <c r="AH12" s="87"/>
      <c r="AI12" s="87"/>
      <c r="AJ12" s="9"/>
      <c r="AK12" s="9"/>
      <c r="AL12" s="9"/>
      <c r="AM12" s="87"/>
      <c r="AN12" s="87"/>
      <c r="AO12" s="87"/>
    </row>
    <row r="13" spans="1:41" s="9" customFormat="1" ht="12.75">
      <c r="A13" s="88" t="s">
        <v>274</v>
      </c>
      <c r="B13" s="88" t="s">
        <v>70</v>
      </c>
      <c r="C13" s="39">
        <v>0.8</v>
      </c>
      <c r="D13" s="40">
        <v>2.3</v>
      </c>
      <c r="E13" s="40">
        <v>0.4</v>
      </c>
      <c r="F13" s="40">
        <v>2.9</v>
      </c>
      <c r="G13" s="39">
        <v>-0.1</v>
      </c>
      <c r="H13" s="40">
        <v>-1.9</v>
      </c>
      <c r="I13" s="40">
        <v>1.8</v>
      </c>
      <c r="J13" s="41">
        <v>0.8</v>
      </c>
      <c r="K13" s="39">
        <v>0.4</v>
      </c>
      <c r="L13" s="40">
        <v>-0.2</v>
      </c>
      <c r="M13" s="40">
        <v>0</v>
      </c>
      <c r="N13" s="41">
        <v>-0.8</v>
      </c>
      <c r="O13" s="39">
        <v>-0.2</v>
      </c>
      <c r="P13" s="40">
        <v>-1.4</v>
      </c>
      <c r="Q13" s="40">
        <v>-1.4</v>
      </c>
      <c r="R13" s="41">
        <v>-1</v>
      </c>
      <c r="S13" s="39">
        <v>-0.3</v>
      </c>
      <c r="T13" s="40">
        <v>-0.5</v>
      </c>
      <c r="U13" s="40">
        <v>0</v>
      </c>
      <c r="V13" s="41">
        <v>0</v>
      </c>
      <c r="W13" s="40">
        <v>0.6</v>
      </c>
      <c r="X13" s="40">
        <v>-1.2</v>
      </c>
      <c r="Y13" s="40">
        <v>0</v>
      </c>
      <c r="Z13" s="41">
        <v>0</v>
      </c>
      <c r="AA13" s="40">
        <v>0</v>
      </c>
      <c r="AB13" s="40">
        <v>0</v>
      </c>
      <c r="AC13" s="40">
        <v>0</v>
      </c>
      <c r="AD13" s="41">
        <v>0</v>
      </c>
      <c r="AE13" s="40">
        <v>0</v>
      </c>
      <c r="AF13" s="40">
        <v>0</v>
      </c>
      <c r="AG13" s="40">
        <v>0</v>
      </c>
      <c r="AH13" s="87"/>
      <c r="AI13" s="87"/>
      <c r="AM13" s="87"/>
      <c r="AN13" s="87"/>
      <c r="AO13" s="87"/>
    </row>
    <row r="14" spans="1:41" s="9" customFormat="1" ht="20.25">
      <c r="A14" s="88" t="s">
        <v>488</v>
      </c>
      <c r="B14" s="88" t="s">
        <v>435</v>
      </c>
      <c r="C14" s="39">
        <v>0</v>
      </c>
      <c r="D14" s="40">
        <v>0</v>
      </c>
      <c r="E14" s="40">
        <v>0</v>
      </c>
      <c r="F14" s="40">
        <v>0</v>
      </c>
      <c r="G14" s="39">
        <v>18</v>
      </c>
      <c r="H14" s="40">
        <v>-12.3</v>
      </c>
      <c r="I14" s="40">
        <v>-7.9</v>
      </c>
      <c r="J14" s="41">
        <f>2.3+2.1</f>
        <v>4.4</v>
      </c>
      <c r="K14" s="39">
        <v>-2.1</v>
      </c>
      <c r="L14" s="40">
        <v>0</v>
      </c>
      <c r="M14" s="40">
        <v>0</v>
      </c>
      <c r="N14" s="41">
        <v>0</v>
      </c>
      <c r="O14" s="39">
        <v>0</v>
      </c>
      <c r="P14" s="40">
        <v>0</v>
      </c>
      <c r="Q14" s="40">
        <v>0</v>
      </c>
      <c r="R14" s="41">
        <v>0</v>
      </c>
      <c r="S14" s="39">
        <v>0</v>
      </c>
      <c r="T14" s="40">
        <v>0</v>
      </c>
      <c r="U14" s="40">
        <v>0</v>
      </c>
      <c r="V14" s="41">
        <v>0</v>
      </c>
      <c r="W14" s="40">
        <v>0</v>
      </c>
      <c r="X14" s="40">
        <v>0</v>
      </c>
      <c r="Y14" s="40">
        <v>0</v>
      </c>
      <c r="Z14" s="41">
        <v>0</v>
      </c>
      <c r="AA14" s="40">
        <v>0</v>
      </c>
      <c r="AB14" s="40">
        <v>0</v>
      </c>
      <c r="AC14" s="40">
        <v>0</v>
      </c>
      <c r="AD14" s="41">
        <v>0</v>
      </c>
      <c r="AE14" s="40">
        <v>0</v>
      </c>
      <c r="AF14" s="40">
        <v>0</v>
      </c>
      <c r="AG14" s="40">
        <v>0</v>
      </c>
      <c r="AH14" s="87"/>
      <c r="AI14" s="87"/>
      <c r="AM14" s="87"/>
      <c r="AN14" s="87"/>
      <c r="AO14" s="87"/>
    </row>
    <row r="15" spans="1:41" s="9" customFormat="1" ht="12.75">
      <c r="A15" s="108" t="s">
        <v>280</v>
      </c>
      <c r="B15" s="108" t="s">
        <v>72</v>
      </c>
      <c r="C15" s="39">
        <v>-2.3</v>
      </c>
      <c r="D15" s="40">
        <v>27.3</v>
      </c>
      <c r="E15" s="40">
        <v>-148.2</v>
      </c>
      <c r="F15" s="40">
        <v>-218.9</v>
      </c>
      <c r="G15" s="39">
        <v>-160.2</v>
      </c>
      <c r="H15" s="40">
        <v>180.3</v>
      </c>
      <c r="I15" s="40">
        <v>474.8</v>
      </c>
      <c r="J15" s="41">
        <v>-543.8</v>
      </c>
      <c r="K15" s="39">
        <v>-2835.6</v>
      </c>
      <c r="L15" s="40">
        <v>686.1</v>
      </c>
      <c r="M15" s="40">
        <v>477.8</v>
      </c>
      <c r="N15" s="41">
        <v>296.3</v>
      </c>
      <c r="O15" s="39">
        <v>235.9</v>
      </c>
      <c r="P15" s="40">
        <v>-183.2</v>
      </c>
      <c r="Q15" s="40">
        <v>161</v>
      </c>
      <c r="R15" s="41">
        <v>204</v>
      </c>
      <c r="S15" s="39">
        <v>184.3</v>
      </c>
      <c r="T15" s="40">
        <v>-102.3</v>
      </c>
      <c r="U15" s="40">
        <v>112.4</v>
      </c>
      <c r="V15" s="41">
        <v>-46.2</v>
      </c>
      <c r="W15" s="40">
        <v>135.7</v>
      </c>
      <c r="X15" s="40">
        <v>222.5</v>
      </c>
      <c r="Y15" s="40">
        <v>58.2</v>
      </c>
      <c r="Z15" s="41">
        <v>-18.4</v>
      </c>
      <c r="AA15" s="40">
        <v>91.4</v>
      </c>
      <c r="AB15" s="40">
        <f>-41.9+10.3</f>
        <v>-31.599999999999998</v>
      </c>
      <c r="AC15" s="40">
        <f>-44.9-5.1</f>
        <v>-50</v>
      </c>
      <c r="AD15" s="41">
        <v>-22.4</v>
      </c>
      <c r="AE15" s="40">
        <v>9.1</v>
      </c>
      <c r="AF15" s="40">
        <v>-38.7</v>
      </c>
      <c r="AG15" s="40">
        <v>57.9</v>
      </c>
      <c r="AH15" s="87"/>
      <c r="AI15" s="87"/>
      <c r="AJ15" s="109"/>
      <c r="AK15" s="109"/>
      <c r="AL15" s="109"/>
      <c r="AM15" s="87"/>
      <c r="AN15" s="87"/>
      <c r="AO15" s="87"/>
    </row>
    <row r="16" spans="1:41" s="109" customFormat="1" ht="20.25">
      <c r="A16" s="99" t="s">
        <v>390</v>
      </c>
      <c r="B16" s="99" t="s">
        <v>66</v>
      </c>
      <c r="C16" s="94">
        <f>C5+C12+C15</f>
        <v>37.8</v>
      </c>
      <c r="D16" s="95">
        <f aca="true" t="shared" si="5" ref="D16:X16">D5+D12+D15</f>
        <v>17.400000000000006</v>
      </c>
      <c r="E16" s="95">
        <f t="shared" si="5"/>
        <v>36.30000000000001</v>
      </c>
      <c r="F16" s="95">
        <f t="shared" si="5"/>
        <v>-8.499999999999972</v>
      </c>
      <c r="G16" s="94">
        <f t="shared" si="5"/>
        <v>72.50000000000003</v>
      </c>
      <c r="H16" s="95">
        <f t="shared" si="5"/>
        <v>64.80000000000001</v>
      </c>
      <c r="I16" s="95">
        <f>I5+I12+I15</f>
        <v>53.39999999999998</v>
      </c>
      <c r="J16" s="96">
        <f t="shared" si="5"/>
        <v>-307.9</v>
      </c>
      <c r="K16" s="94">
        <f t="shared" si="5"/>
        <v>-23.99999999999909</v>
      </c>
      <c r="L16" s="95">
        <f t="shared" si="5"/>
        <v>43.60000000000002</v>
      </c>
      <c r="M16" s="95">
        <f t="shared" si="5"/>
        <v>58.80000000000001</v>
      </c>
      <c r="N16" s="96">
        <f t="shared" si="5"/>
        <v>19.500000000000057</v>
      </c>
      <c r="O16" s="94">
        <f t="shared" si="5"/>
        <v>28.50000000000003</v>
      </c>
      <c r="P16" s="95">
        <f t="shared" si="5"/>
        <v>22.799999999999983</v>
      </c>
      <c r="Q16" s="95">
        <f t="shared" si="5"/>
        <v>24.399999999999977</v>
      </c>
      <c r="R16" s="96">
        <f t="shared" si="5"/>
        <v>1.799999999999983</v>
      </c>
      <c r="S16" s="94">
        <f t="shared" si="5"/>
        <v>26.799999999999983</v>
      </c>
      <c r="T16" s="95">
        <f t="shared" si="5"/>
        <v>11.399999999999991</v>
      </c>
      <c r="U16" s="95">
        <f t="shared" si="5"/>
        <v>-8.09999999999998</v>
      </c>
      <c r="V16" s="96">
        <f t="shared" si="5"/>
        <v>-11.799999999999997</v>
      </c>
      <c r="W16" s="95">
        <f t="shared" si="5"/>
        <v>53.699999999999974</v>
      </c>
      <c r="X16" s="95">
        <f t="shared" si="5"/>
        <v>12.299999999999983</v>
      </c>
      <c r="Y16" s="95">
        <f aca="true" t="shared" si="6" ref="Y16:AG16">Y5+Y12+Y15</f>
        <v>18.9</v>
      </c>
      <c r="Z16" s="96">
        <f t="shared" si="6"/>
        <v>0.6000000000000014</v>
      </c>
      <c r="AA16" s="95">
        <f t="shared" si="6"/>
        <v>17.10000000000001</v>
      </c>
      <c r="AB16" s="95">
        <f t="shared" si="6"/>
        <v>34.30000000000001</v>
      </c>
      <c r="AC16" s="95">
        <f t="shared" si="6"/>
        <v>36.400000000000006</v>
      </c>
      <c r="AD16" s="96">
        <f t="shared" si="6"/>
        <v>10.100000000000001</v>
      </c>
      <c r="AE16" s="95">
        <f t="shared" si="6"/>
        <v>25.300000000000004</v>
      </c>
      <c r="AF16" s="95">
        <f t="shared" si="6"/>
        <v>22.799999999999997</v>
      </c>
      <c r="AG16" s="95">
        <f t="shared" si="6"/>
        <v>23.599999999999994</v>
      </c>
      <c r="AH16" s="87"/>
      <c r="AI16" s="87"/>
      <c r="AJ16" s="9"/>
      <c r="AK16" s="9"/>
      <c r="AL16" s="9"/>
      <c r="AM16" s="87"/>
      <c r="AN16" s="87"/>
      <c r="AO16" s="87"/>
    </row>
    <row r="17" spans="1:41" s="9" customFormat="1" ht="12.75">
      <c r="A17" s="90"/>
      <c r="B17" s="90"/>
      <c r="C17" s="39"/>
      <c r="D17" s="40"/>
      <c r="E17" s="40"/>
      <c r="F17" s="40"/>
      <c r="G17" s="39"/>
      <c r="H17" s="40"/>
      <c r="I17" s="40"/>
      <c r="J17" s="41"/>
      <c r="K17" s="39"/>
      <c r="L17" s="40"/>
      <c r="M17" s="40"/>
      <c r="N17" s="41"/>
      <c r="O17" s="39"/>
      <c r="P17" s="40"/>
      <c r="Q17" s="40"/>
      <c r="R17" s="41"/>
      <c r="S17" s="39"/>
      <c r="T17" s="40"/>
      <c r="U17" s="40"/>
      <c r="V17" s="41"/>
      <c r="W17" s="40"/>
      <c r="X17" s="40"/>
      <c r="Y17" s="40"/>
      <c r="Z17" s="41"/>
      <c r="AA17" s="40"/>
      <c r="AB17" s="40"/>
      <c r="AC17" s="40"/>
      <c r="AD17" s="41"/>
      <c r="AE17" s="40"/>
      <c r="AF17" s="40"/>
      <c r="AG17" s="40"/>
      <c r="AH17" s="87"/>
      <c r="AI17" s="87"/>
      <c r="AM17" s="87"/>
      <c r="AN17" s="87"/>
      <c r="AO17" s="87"/>
    </row>
    <row r="18" spans="1:41" s="9" customFormat="1" ht="12.75">
      <c r="A18" s="90" t="s">
        <v>281</v>
      </c>
      <c r="B18" s="90" t="s">
        <v>77</v>
      </c>
      <c r="C18" s="39">
        <v>14.6</v>
      </c>
      <c r="D18" s="40">
        <v>0</v>
      </c>
      <c r="E18" s="40">
        <v>0</v>
      </c>
      <c r="F18" s="40">
        <v>0</v>
      </c>
      <c r="G18" s="39">
        <v>0.1</v>
      </c>
      <c r="H18" s="40">
        <v>25.4</v>
      </c>
      <c r="I18" s="40">
        <v>0</v>
      </c>
      <c r="J18" s="41">
        <v>2.6</v>
      </c>
      <c r="K18" s="39">
        <v>0</v>
      </c>
      <c r="L18" s="40">
        <v>4.1</v>
      </c>
      <c r="M18" s="40">
        <v>0.1</v>
      </c>
      <c r="N18" s="41">
        <v>-0.1</v>
      </c>
      <c r="O18" s="39">
        <v>0</v>
      </c>
      <c r="P18" s="40">
        <v>0</v>
      </c>
      <c r="Q18" s="40">
        <v>0.2</v>
      </c>
      <c r="R18" s="41">
        <v>0</v>
      </c>
      <c r="S18" s="39">
        <v>0</v>
      </c>
      <c r="T18" s="40">
        <v>0</v>
      </c>
      <c r="U18" s="40">
        <v>0</v>
      </c>
      <c r="V18" s="41">
        <v>1.4</v>
      </c>
      <c r="W18" s="40">
        <v>6.8</v>
      </c>
      <c r="X18" s="40">
        <f>S18+T18</f>
        <v>0</v>
      </c>
      <c r="Y18" s="40">
        <v>0</v>
      </c>
      <c r="Z18" s="41">
        <v>0</v>
      </c>
      <c r="AA18" s="40">
        <v>0</v>
      </c>
      <c r="AB18" s="40">
        <v>0</v>
      </c>
      <c r="AC18" s="40">
        <v>0</v>
      </c>
      <c r="AD18" s="41">
        <v>0.5</v>
      </c>
      <c r="AE18" s="40">
        <v>0</v>
      </c>
      <c r="AF18" s="40">
        <v>0</v>
      </c>
      <c r="AG18" s="40">
        <v>1.2</v>
      </c>
      <c r="AH18" s="87"/>
      <c r="AI18" s="87"/>
      <c r="AM18" s="87"/>
      <c r="AN18" s="87"/>
      <c r="AO18" s="87"/>
    </row>
    <row r="19" spans="1:41" s="9" customFormat="1" ht="12.75">
      <c r="A19" s="90" t="s">
        <v>282</v>
      </c>
      <c r="B19" s="90" t="s">
        <v>78</v>
      </c>
      <c r="C19" s="39">
        <v>2.3</v>
      </c>
      <c r="D19" s="40">
        <v>4.7</v>
      </c>
      <c r="E19" s="40">
        <v>0.6</v>
      </c>
      <c r="F19" s="40">
        <v>0</v>
      </c>
      <c r="G19" s="39">
        <v>0</v>
      </c>
      <c r="H19" s="40">
        <v>-3.7</v>
      </c>
      <c r="I19" s="40">
        <v>-0.7</v>
      </c>
      <c r="J19" s="41">
        <v>0</v>
      </c>
      <c r="K19" s="39">
        <v>0.3</v>
      </c>
      <c r="L19" s="40">
        <v>0.2</v>
      </c>
      <c r="M19" s="40">
        <v>5.2</v>
      </c>
      <c r="N19" s="41">
        <v>-10.7</v>
      </c>
      <c r="O19" s="39">
        <v>3.8</v>
      </c>
      <c r="P19" s="40">
        <v>-0.5</v>
      </c>
      <c r="Q19" s="40">
        <v>-0.4</v>
      </c>
      <c r="R19" s="41">
        <v>-5.7</v>
      </c>
      <c r="S19" s="39">
        <v>18.2</v>
      </c>
      <c r="T19" s="40">
        <v>-0.2</v>
      </c>
      <c r="U19" s="40">
        <v>7.4</v>
      </c>
      <c r="V19" s="41">
        <v>4.3</v>
      </c>
      <c r="W19" s="40">
        <v>12.3</v>
      </c>
      <c r="X19" s="40">
        <v>2.5</v>
      </c>
      <c r="Y19" s="40">
        <v>0</v>
      </c>
      <c r="Z19" s="41">
        <v>3.7</v>
      </c>
      <c r="AA19" s="40">
        <v>120.3</v>
      </c>
      <c r="AB19" s="40">
        <v>-3.7</v>
      </c>
      <c r="AC19" s="40">
        <v>-11.7</v>
      </c>
      <c r="AD19" s="41">
        <v>0</v>
      </c>
      <c r="AE19" s="40">
        <v>0.1</v>
      </c>
      <c r="AF19" s="40">
        <v>4.9</v>
      </c>
      <c r="AG19" s="40">
        <v>0</v>
      </c>
      <c r="AH19" s="87"/>
      <c r="AI19" s="87"/>
      <c r="AJ19" s="4"/>
      <c r="AK19" s="4"/>
      <c r="AL19" s="4"/>
      <c r="AM19" s="87"/>
      <c r="AN19" s="87"/>
      <c r="AO19" s="87"/>
    </row>
    <row r="20" spans="1:41" s="4" customFormat="1" ht="12.75">
      <c r="A20" s="103" t="s">
        <v>283</v>
      </c>
      <c r="B20" s="103" t="s">
        <v>79</v>
      </c>
      <c r="C20" s="39">
        <v>0</v>
      </c>
      <c r="D20" s="40">
        <v>1.4</v>
      </c>
      <c r="E20" s="40">
        <v>1.3</v>
      </c>
      <c r="F20" s="40">
        <v>0.1</v>
      </c>
      <c r="G20" s="39">
        <v>0</v>
      </c>
      <c r="H20" s="40">
        <v>2.4</v>
      </c>
      <c r="I20" s="40">
        <v>0.4</v>
      </c>
      <c r="J20" s="41">
        <v>4.3</v>
      </c>
      <c r="K20" s="39">
        <v>0</v>
      </c>
      <c r="L20" s="40">
        <v>4</v>
      </c>
      <c r="M20" s="40">
        <v>0.1</v>
      </c>
      <c r="N20" s="41">
        <v>0.1</v>
      </c>
      <c r="O20" s="39">
        <f>0.3-0.1</f>
        <v>0.19999999999999998</v>
      </c>
      <c r="P20" s="40">
        <v>3.5</v>
      </c>
      <c r="Q20" s="40">
        <v>1</v>
      </c>
      <c r="R20" s="41">
        <v>0.1</v>
      </c>
      <c r="S20" s="39">
        <v>0</v>
      </c>
      <c r="T20" s="40">
        <v>4.4</v>
      </c>
      <c r="U20" s="40">
        <v>0.3</v>
      </c>
      <c r="V20" s="41">
        <v>0.2</v>
      </c>
      <c r="W20" s="40">
        <v>0</v>
      </c>
      <c r="X20" s="40">
        <v>4.1</v>
      </c>
      <c r="Y20" s="40">
        <v>0</v>
      </c>
      <c r="Z20" s="41">
        <v>0</v>
      </c>
      <c r="AA20" s="40">
        <v>0</v>
      </c>
      <c r="AB20" s="40">
        <v>3.4</v>
      </c>
      <c r="AC20" s="40">
        <v>0</v>
      </c>
      <c r="AD20" s="41">
        <v>0</v>
      </c>
      <c r="AE20" s="40">
        <v>0</v>
      </c>
      <c r="AF20" s="40">
        <v>0</v>
      </c>
      <c r="AG20" s="40">
        <v>4</v>
      </c>
      <c r="AH20" s="87"/>
      <c r="AI20" s="87"/>
      <c r="AM20" s="87"/>
      <c r="AN20" s="87"/>
      <c r="AO20" s="87"/>
    </row>
    <row r="21" spans="1:41" s="4" customFormat="1" ht="12.75">
      <c r="A21" s="103" t="s">
        <v>543</v>
      </c>
      <c r="B21" s="103" t="s">
        <v>544</v>
      </c>
      <c r="C21" s="39">
        <v>0</v>
      </c>
      <c r="D21" s="40">
        <v>0</v>
      </c>
      <c r="E21" s="40">
        <v>0</v>
      </c>
      <c r="F21" s="40">
        <v>0</v>
      </c>
      <c r="G21" s="39">
        <v>0</v>
      </c>
      <c r="H21" s="40">
        <v>0</v>
      </c>
      <c r="I21" s="40">
        <v>0</v>
      </c>
      <c r="J21" s="40">
        <v>0</v>
      </c>
      <c r="K21" s="39">
        <v>0</v>
      </c>
      <c r="L21" s="40">
        <v>0</v>
      </c>
      <c r="M21" s="40">
        <v>0</v>
      </c>
      <c r="N21" s="40">
        <v>0</v>
      </c>
      <c r="O21" s="39">
        <v>0</v>
      </c>
      <c r="P21" s="40">
        <v>0</v>
      </c>
      <c r="Q21" s="40">
        <v>0</v>
      </c>
      <c r="R21" s="40">
        <v>0</v>
      </c>
      <c r="S21" s="39">
        <v>0</v>
      </c>
      <c r="T21" s="40">
        <v>0</v>
      </c>
      <c r="U21" s="40">
        <v>0</v>
      </c>
      <c r="V21" s="40">
        <v>0</v>
      </c>
      <c r="W21" s="40">
        <v>0</v>
      </c>
      <c r="X21" s="40">
        <v>0</v>
      </c>
      <c r="Y21" s="40">
        <v>-0.9</v>
      </c>
      <c r="Z21" s="41">
        <v>-3.9</v>
      </c>
      <c r="AA21" s="40">
        <v>0.1</v>
      </c>
      <c r="AB21" s="40">
        <v>0</v>
      </c>
      <c r="AC21" s="40">
        <v>0</v>
      </c>
      <c r="AD21" s="41">
        <v>-0.1</v>
      </c>
      <c r="AE21" s="40">
        <v>0</v>
      </c>
      <c r="AF21" s="40">
        <v>0</v>
      </c>
      <c r="AG21" s="40">
        <v>0</v>
      </c>
      <c r="AH21" s="87"/>
      <c r="AI21" s="87"/>
      <c r="AM21" s="87"/>
      <c r="AN21" s="87"/>
      <c r="AO21" s="87"/>
    </row>
    <row r="22" spans="1:41" s="4" customFormat="1" ht="12.75">
      <c r="A22" s="90" t="s">
        <v>437</v>
      </c>
      <c r="B22" s="90" t="s">
        <v>436</v>
      </c>
      <c r="C22" s="39">
        <v>0</v>
      </c>
      <c r="D22" s="40">
        <v>0</v>
      </c>
      <c r="E22" s="40">
        <v>0</v>
      </c>
      <c r="F22" s="40">
        <v>0</v>
      </c>
      <c r="G22" s="39">
        <v>0</v>
      </c>
      <c r="H22" s="40">
        <v>0</v>
      </c>
      <c r="I22" s="40">
        <v>0</v>
      </c>
      <c r="J22" s="41">
        <v>0</v>
      </c>
      <c r="K22" s="39">
        <v>0</v>
      </c>
      <c r="L22" s="40">
        <v>0</v>
      </c>
      <c r="M22" s="40">
        <v>0</v>
      </c>
      <c r="N22" s="41">
        <v>0</v>
      </c>
      <c r="O22" s="39">
        <v>0</v>
      </c>
      <c r="P22" s="40">
        <v>0</v>
      </c>
      <c r="Q22" s="40">
        <v>0</v>
      </c>
      <c r="R22" s="41">
        <v>0</v>
      </c>
      <c r="S22" s="39">
        <v>0</v>
      </c>
      <c r="T22" s="40">
        <v>2</v>
      </c>
      <c r="U22" s="40">
        <v>0</v>
      </c>
      <c r="V22" s="41">
        <v>0</v>
      </c>
      <c r="W22" s="40">
        <v>0</v>
      </c>
      <c r="X22" s="40">
        <v>0</v>
      </c>
      <c r="Y22" s="40">
        <v>0</v>
      </c>
      <c r="Z22" s="41">
        <v>0</v>
      </c>
      <c r="AA22" s="40">
        <v>0</v>
      </c>
      <c r="AB22" s="40">
        <v>0</v>
      </c>
      <c r="AC22" s="40">
        <v>0</v>
      </c>
      <c r="AD22" s="41">
        <v>0</v>
      </c>
      <c r="AE22" s="40">
        <v>0</v>
      </c>
      <c r="AF22" s="40">
        <v>0</v>
      </c>
      <c r="AG22" s="40">
        <v>0</v>
      </c>
      <c r="AH22" s="87"/>
      <c r="AI22" s="87"/>
      <c r="AJ22" s="9"/>
      <c r="AK22" s="13"/>
      <c r="AL22" s="13"/>
      <c r="AM22" s="87"/>
      <c r="AN22" s="87"/>
      <c r="AO22" s="87"/>
    </row>
    <row r="23" spans="1:41" s="13" customFormat="1" ht="12.75">
      <c r="A23" s="99" t="s">
        <v>284</v>
      </c>
      <c r="B23" s="99" t="s">
        <v>80</v>
      </c>
      <c r="C23" s="94">
        <f aca="true" t="shared" si="7" ref="C23:V23">SUM(C18:C22)</f>
        <v>16.9</v>
      </c>
      <c r="D23" s="95">
        <f t="shared" si="7"/>
        <v>6.1</v>
      </c>
      <c r="E23" s="95">
        <f t="shared" si="7"/>
        <v>1.9</v>
      </c>
      <c r="F23" s="96">
        <f t="shared" si="7"/>
        <v>0.1</v>
      </c>
      <c r="G23" s="95">
        <f t="shared" si="7"/>
        <v>0.1</v>
      </c>
      <c r="H23" s="95">
        <f t="shared" si="7"/>
        <v>24.099999999999998</v>
      </c>
      <c r="I23" s="95">
        <f t="shared" si="7"/>
        <v>-0.29999999999999993</v>
      </c>
      <c r="J23" s="95">
        <f t="shared" si="7"/>
        <v>6.9</v>
      </c>
      <c r="K23" s="94">
        <f t="shared" si="7"/>
        <v>0.3</v>
      </c>
      <c r="L23" s="95">
        <f t="shared" si="7"/>
        <v>8.3</v>
      </c>
      <c r="M23" s="95">
        <f t="shared" si="7"/>
        <v>5.3999999999999995</v>
      </c>
      <c r="N23" s="96">
        <f t="shared" si="7"/>
        <v>-10.7</v>
      </c>
      <c r="O23" s="95">
        <f t="shared" si="7"/>
        <v>4</v>
      </c>
      <c r="P23" s="95">
        <f t="shared" si="7"/>
        <v>3</v>
      </c>
      <c r="Q23" s="95">
        <f t="shared" si="7"/>
        <v>0.8</v>
      </c>
      <c r="R23" s="95">
        <f t="shared" si="7"/>
        <v>-5.6000000000000005</v>
      </c>
      <c r="S23" s="94">
        <f t="shared" si="7"/>
        <v>18.2</v>
      </c>
      <c r="T23" s="95">
        <f t="shared" si="7"/>
        <v>6.2</v>
      </c>
      <c r="U23" s="95">
        <f t="shared" si="7"/>
        <v>7.7</v>
      </c>
      <c r="V23" s="96">
        <f t="shared" si="7"/>
        <v>5.8999999999999995</v>
      </c>
      <c r="W23" s="95">
        <f aca="true" t="shared" si="8" ref="W23:AB23">SUM(W18:W22)</f>
        <v>19.1</v>
      </c>
      <c r="X23" s="95">
        <f t="shared" si="8"/>
        <v>6.6</v>
      </c>
      <c r="Y23" s="95">
        <f t="shared" si="8"/>
        <v>-0.9</v>
      </c>
      <c r="Z23" s="96">
        <f t="shared" si="8"/>
        <v>-0.19999999999999973</v>
      </c>
      <c r="AA23" s="95">
        <f t="shared" si="8"/>
        <v>120.39999999999999</v>
      </c>
      <c r="AB23" s="95">
        <f t="shared" si="8"/>
        <v>-0.30000000000000027</v>
      </c>
      <c r="AC23" s="95">
        <f>SUM(AC18:AC22)</f>
        <v>-11.7</v>
      </c>
      <c r="AD23" s="96">
        <f>SUM(AD18:AD22)</f>
        <v>0.4</v>
      </c>
      <c r="AE23" s="95">
        <f>SUM(AE18:AE22)</f>
        <v>0.1</v>
      </c>
      <c r="AF23" s="95">
        <f>SUM(AF18:AF22)</f>
        <v>4.9</v>
      </c>
      <c r="AG23" s="95">
        <f>SUM(AG18:AG22)</f>
        <v>5.2</v>
      </c>
      <c r="AH23" s="87"/>
      <c r="AI23" s="87"/>
      <c r="AJ23" s="3"/>
      <c r="AK23" s="3"/>
      <c r="AL23" s="3"/>
      <c r="AM23" s="87"/>
      <c r="AN23" s="87"/>
      <c r="AO23" s="87"/>
    </row>
    <row r="24" spans="1:41" ht="12.75">
      <c r="A24" s="110"/>
      <c r="B24" s="110"/>
      <c r="C24" s="39"/>
      <c r="D24" s="40"/>
      <c r="E24" s="40"/>
      <c r="F24" s="40"/>
      <c r="G24" s="39"/>
      <c r="H24" s="40"/>
      <c r="I24" s="40"/>
      <c r="J24" s="41"/>
      <c r="K24" s="39"/>
      <c r="L24" s="40"/>
      <c r="M24" s="40"/>
      <c r="N24" s="41"/>
      <c r="O24" s="39"/>
      <c r="P24" s="40"/>
      <c r="Q24" s="40"/>
      <c r="R24" s="41"/>
      <c r="S24" s="39"/>
      <c r="T24" s="40"/>
      <c r="U24" s="40"/>
      <c r="V24" s="41"/>
      <c r="W24" s="40"/>
      <c r="X24" s="40"/>
      <c r="Y24" s="40"/>
      <c r="Z24" s="41"/>
      <c r="AA24" s="40"/>
      <c r="AB24" s="40"/>
      <c r="AC24" s="40"/>
      <c r="AD24" s="40"/>
      <c r="AE24" s="40"/>
      <c r="AF24" s="40"/>
      <c r="AG24" s="40"/>
      <c r="AH24" s="87"/>
      <c r="AI24" s="87"/>
      <c r="AM24" s="87"/>
      <c r="AN24" s="87"/>
      <c r="AO24" s="87"/>
    </row>
    <row r="25" spans="1:41" ht="12.75">
      <c r="A25" s="89" t="s">
        <v>285</v>
      </c>
      <c r="B25" s="89" t="s">
        <v>81</v>
      </c>
      <c r="C25" s="39">
        <f>C26+C27</f>
        <v>0</v>
      </c>
      <c r="D25" s="40">
        <f aca="true" t="shared" si="9" ref="D25:X25">D26+D27</f>
        <v>-0.19999999999999996</v>
      </c>
      <c r="E25" s="40">
        <f t="shared" si="9"/>
        <v>1.6</v>
      </c>
      <c r="F25" s="40">
        <f t="shared" si="9"/>
        <v>-0.5999999999999996</v>
      </c>
      <c r="G25" s="39">
        <f t="shared" si="9"/>
        <v>0.6999999999999997</v>
      </c>
      <c r="H25" s="40">
        <f t="shared" si="9"/>
        <v>-0.7000000000000028</v>
      </c>
      <c r="I25" s="40">
        <f t="shared" si="9"/>
        <v>2.5</v>
      </c>
      <c r="J25" s="41">
        <f t="shared" si="9"/>
        <v>2.099999999999966</v>
      </c>
      <c r="K25" s="39">
        <f t="shared" si="9"/>
        <v>18</v>
      </c>
      <c r="L25" s="40">
        <f t="shared" si="9"/>
        <v>5.799999999999997</v>
      </c>
      <c r="M25" s="40">
        <f t="shared" si="9"/>
        <v>-6.800000000000004</v>
      </c>
      <c r="N25" s="41">
        <f t="shared" si="9"/>
        <v>3.299999999999997</v>
      </c>
      <c r="O25" s="39">
        <f t="shared" si="9"/>
        <v>-7</v>
      </c>
      <c r="P25" s="40">
        <f t="shared" si="9"/>
        <v>-15.300000000000011</v>
      </c>
      <c r="Q25" s="40">
        <f t="shared" si="9"/>
        <v>-7.900000000000006</v>
      </c>
      <c r="R25" s="41">
        <f t="shared" si="9"/>
        <v>18</v>
      </c>
      <c r="S25" s="39">
        <f t="shared" si="9"/>
        <v>-15.899999999999991</v>
      </c>
      <c r="T25" s="40">
        <f t="shared" si="9"/>
        <v>-5.6000000000000085</v>
      </c>
      <c r="U25" s="40">
        <f t="shared" si="9"/>
        <v>-21.900000000000006</v>
      </c>
      <c r="V25" s="41">
        <f t="shared" si="9"/>
        <v>7.699999999999999</v>
      </c>
      <c r="W25" s="40">
        <f t="shared" si="9"/>
        <v>2.3999999999999986</v>
      </c>
      <c r="X25" s="40">
        <f t="shared" si="9"/>
        <v>-5.600000000000001</v>
      </c>
      <c r="Y25" s="40">
        <f aca="true" t="shared" si="10" ref="Y25:AG25">Y26+Y27</f>
        <v>-2.1000000000000085</v>
      </c>
      <c r="Z25" s="41">
        <f t="shared" si="10"/>
        <v>-4.199999999999996</v>
      </c>
      <c r="AA25" s="40">
        <f t="shared" si="10"/>
        <v>-19.699999999999996</v>
      </c>
      <c r="AB25" s="40">
        <f t="shared" si="10"/>
        <v>11.700000000000003</v>
      </c>
      <c r="AC25" s="40">
        <f t="shared" si="10"/>
        <v>2.8</v>
      </c>
      <c r="AD25" s="41">
        <f t="shared" si="10"/>
        <v>4.1</v>
      </c>
      <c r="AE25" s="40">
        <f t="shared" si="10"/>
        <v>-0.5</v>
      </c>
      <c r="AF25" s="40">
        <f t="shared" si="10"/>
        <v>3.9000000000000057</v>
      </c>
      <c r="AG25" s="40">
        <f t="shared" si="10"/>
        <v>6.900000000000006</v>
      </c>
      <c r="AH25" s="87"/>
      <c r="AI25" s="87"/>
      <c r="AM25" s="87"/>
      <c r="AN25" s="87"/>
      <c r="AO25" s="87"/>
    </row>
    <row r="26" spans="1:41" ht="12.75">
      <c r="A26" s="38" t="s">
        <v>286</v>
      </c>
      <c r="B26" s="38" t="s">
        <v>84</v>
      </c>
      <c r="C26" s="39">
        <v>0</v>
      </c>
      <c r="D26" s="40">
        <v>-1.2</v>
      </c>
      <c r="E26" s="40">
        <v>1</v>
      </c>
      <c r="F26" s="40">
        <v>-5.1</v>
      </c>
      <c r="G26" s="39">
        <v>3.8</v>
      </c>
      <c r="H26" s="40">
        <v>71.3</v>
      </c>
      <c r="I26" s="40">
        <v>-16.3</v>
      </c>
      <c r="J26" s="41">
        <v>268.2</v>
      </c>
      <c r="K26" s="39">
        <v>-24.6</v>
      </c>
      <c r="L26" s="40">
        <v>-112.4</v>
      </c>
      <c r="M26" s="40">
        <v>61.1</v>
      </c>
      <c r="N26" s="41">
        <v>-66.4</v>
      </c>
      <c r="O26" s="39">
        <v>133.1</v>
      </c>
      <c r="P26" s="40">
        <v>129.2</v>
      </c>
      <c r="Q26" s="40">
        <v>76.1</v>
      </c>
      <c r="R26" s="41">
        <v>-224.1</v>
      </c>
      <c r="S26" s="39">
        <v>-128.7</v>
      </c>
      <c r="T26" s="40">
        <v>76.3</v>
      </c>
      <c r="U26" s="40">
        <v>205.9</v>
      </c>
      <c r="V26" s="41">
        <v>20.4</v>
      </c>
      <c r="W26" s="40">
        <v>33.8</v>
      </c>
      <c r="X26" s="40">
        <v>57.8</v>
      </c>
      <c r="Y26" s="40">
        <v>70.1</v>
      </c>
      <c r="Z26" s="41">
        <v>42.2</v>
      </c>
      <c r="AA26" s="40">
        <v>-66.6</v>
      </c>
      <c r="AB26" s="40">
        <v>-123.2</v>
      </c>
      <c r="AC26" s="40">
        <v>-1.1</v>
      </c>
      <c r="AD26" s="41">
        <v>-13.4</v>
      </c>
      <c r="AE26" s="40">
        <v>53.6</v>
      </c>
      <c r="AF26" s="40">
        <v>93.7</v>
      </c>
      <c r="AG26" s="40">
        <v>65.4</v>
      </c>
      <c r="AH26" s="87"/>
      <c r="AI26" s="87"/>
      <c r="AM26" s="87"/>
      <c r="AN26" s="87"/>
      <c r="AO26" s="87"/>
    </row>
    <row r="27" spans="1:41" ht="12.75">
      <c r="A27" s="38" t="s">
        <v>287</v>
      </c>
      <c r="B27" s="38" t="s">
        <v>85</v>
      </c>
      <c r="C27" s="39">
        <v>0</v>
      </c>
      <c r="D27" s="40">
        <v>1</v>
      </c>
      <c r="E27" s="40">
        <v>0.6</v>
      </c>
      <c r="F27" s="40">
        <v>4.5</v>
      </c>
      <c r="G27" s="39">
        <v>-3.1</v>
      </c>
      <c r="H27" s="40">
        <v>-72</v>
      </c>
      <c r="I27" s="40">
        <v>18.8</v>
      </c>
      <c r="J27" s="41">
        <v>-266.1</v>
      </c>
      <c r="K27" s="39">
        <v>42.6</v>
      </c>
      <c r="L27" s="40">
        <v>118.2</v>
      </c>
      <c r="M27" s="40">
        <v>-67.9</v>
      </c>
      <c r="N27" s="41">
        <v>69.7</v>
      </c>
      <c r="O27" s="39">
        <v>-140.1</v>
      </c>
      <c r="P27" s="40">
        <v>-144.5</v>
      </c>
      <c r="Q27" s="40">
        <v>-84</v>
      </c>
      <c r="R27" s="41">
        <v>242.1</v>
      </c>
      <c r="S27" s="39">
        <v>112.8</v>
      </c>
      <c r="T27" s="40">
        <v>-81.9</v>
      </c>
      <c r="U27" s="40">
        <v>-227.8</v>
      </c>
      <c r="V27" s="41">
        <v>-12.7</v>
      </c>
      <c r="W27" s="40">
        <v>-31.4</v>
      </c>
      <c r="X27" s="40">
        <v>-63.4</v>
      </c>
      <c r="Y27" s="40">
        <v>-72.2</v>
      </c>
      <c r="Z27" s="41">
        <v>-46.4</v>
      </c>
      <c r="AA27" s="40">
        <v>46.9</v>
      </c>
      <c r="AB27" s="40">
        <v>134.9</v>
      </c>
      <c r="AC27" s="40">
        <v>3.9</v>
      </c>
      <c r="AD27" s="41">
        <v>17.5</v>
      </c>
      <c r="AE27" s="40">
        <v>-54.1</v>
      </c>
      <c r="AF27" s="40">
        <v>-89.8</v>
      </c>
      <c r="AG27" s="40">
        <v>-58.5</v>
      </c>
      <c r="AH27" s="87"/>
      <c r="AI27" s="87"/>
      <c r="AJ27" s="13"/>
      <c r="AK27" s="13"/>
      <c r="AL27" s="13"/>
      <c r="AM27" s="87"/>
      <c r="AN27" s="87"/>
      <c r="AO27" s="87"/>
    </row>
    <row r="28" spans="1:41" s="13" customFormat="1" ht="12.75">
      <c r="A28" s="89" t="s">
        <v>288</v>
      </c>
      <c r="B28" s="89" t="s">
        <v>82</v>
      </c>
      <c r="C28" s="39">
        <f>C29</f>
        <v>0</v>
      </c>
      <c r="D28" s="40">
        <f aca="true" t="shared" si="11" ref="D28:W28">D29</f>
        <v>0</v>
      </c>
      <c r="E28" s="40">
        <f t="shared" si="11"/>
        <v>0</v>
      </c>
      <c r="F28" s="40">
        <f t="shared" si="11"/>
        <v>0</v>
      </c>
      <c r="G28" s="39">
        <f t="shared" si="11"/>
        <v>0</v>
      </c>
      <c r="H28" s="40">
        <f t="shared" si="11"/>
        <v>0</v>
      </c>
      <c r="I28" s="40">
        <f t="shared" si="11"/>
        <v>0.2</v>
      </c>
      <c r="J28" s="40">
        <f t="shared" si="11"/>
        <v>-0.2</v>
      </c>
      <c r="K28" s="39">
        <f t="shared" si="11"/>
        <v>-0.1</v>
      </c>
      <c r="L28" s="40">
        <f t="shared" si="11"/>
        <v>0.2</v>
      </c>
      <c r="M28" s="40">
        <f t="shared" si="11"/>
        <v>0.1</v>
      </c>
      <c r="N28" s="40">
        <f t="shared" si="11"/>
        <v>-0.4</v>
      </c>
      <c r="O28" s="39">
        <f t="shared" si="11"/>
        <v>0.1</v>
      </c>
      <c r="P28" s="40">
        <f t="shared" si="11"/>
        <v>0</v>
      </c>
      <c r="Q28" s="40">
        <f t="shared" si="11"/>
        <v>0</v>
      </c>
      <c r="R28" s="40">
        <f t="shared" si="11"/>
        <v>0</v>
      </c>
      <c r="S28" s="39">
        <f t="shared" si="11"/>
        <v>-0.4</v>
      </c>
      <c r="T28" s="40">
        <f t="shared" si="11"/>
        <v>2.4</v>
      </c>
      <c r="U28" s="40">
        <f t="shared" si="11"/>
        <v>-1.7</v>
      </c>
      <c r="V28" s="40">
        <f t="shared" si="11"/>
        <v>2</v>
      </c>
      <c r="W28" s="39">
        <f t="shared" si="11"/>
        <v>-0.7</v>
      </c>
      <c r="X28" s="40">
        <f aca="true" t="shared" si="12" ref="X28:AG28">SUM(X29)</f>
        <v>0.4</v>
      </c>
      <c r="Y28" s="40">
        <f t="shared" si="12"/>
        <v>-3.4</v>
      </c>
      <c r="Z28" s="41">
        <f t="shared" si="12"/>
        <v>-0.1</v>
      </c>
      <c r="AA28" s="40">
        <f t="shared" si="12"/>
        <v>0.7</v>
      </c>
      <c r="AB28" s="40">
        <f t="shared" si="12"/>
        <v>-0.2</v>
      </c>
      <c r="AC28" s="40">
        <f t="shared" si="12"/>
        <v>-0.5</v>
      </c>
      <c r="AD28" s="41">
        <f t="shared" si="12"/>
        <v>-0.4</v>
      </c>
      <c r="AE28" s="40">
        <f t="shared" si="12"/>
        <v>1.1</v>
      </c>
      <c r="AF28" s="40">
        <f t="shared" si="12"/>
        <v>-0.9</v>
      </c>
      <c r="AG28" s="40">
        <f t="shared" si="12"/>
        <v>0.3</v>
      </c>
      <c r="AH28" s="87"/>
      <c r="AI28" s="87"/>
      <c r="AJ28" s="3"/>
      <c r="AK28" s="3"/>
      <c r="AL28" s="3"/>
      <c r="AM28" s="87"/>
      <c r="AN28" s="87"/>
      <c r="AO28" s="87"/>
    </row>
    <row r="29" spans="1:41" ht="12.75">
      <c r="A29" s="104" t="s">
        <v>289</v>
      </c>
      <c r="B29" s="104" t="s">
        <v>86</v>
      </c>
      <c r="C29" s="39">
        <v>0</v>
      </c>
      <c r="D29" s="40">
        <v>0</v>
      </c>
      <c r="E29" s="40">
        <v>0</v>
      </c>
      <c r="F29" s="40">
        <v>0</v>
      </c>
      <c r="G29" s="39">
        <v>0</v>
      </c>
      <c r="H29" s="40">
        <v>0</v>
      </c>
      <c r="I29" s="40">
        <v>0.2</v>
      </c>
      <c r="J29" s="41">
        <v>-0.2</v>
      </c>
      <c r="K29" s="39">
        <v>-0.1</v>
      </c>
      <c r="L29" s="40">
        <v>0.2</v>
      </c>
      <c r="M29" s="40">
        <v>0.1</v>
      </c>
      <c r="N29" s="41">
        <v>-0.4</v>
      </c>
      <c r="O29" s="39">
        <v>0.1</v>
      </c>
      <c r="P29" s="40">
        <v>0</v>
      </c>
      <c r="Q29" s="40">
        <v>0</v>
      </c>
      <c r="R29" s="41">
        <v>0</v>
      </c>
      <c r="S29" s="39">
        <v>-0.4</v>
      </c>
      <c r="T29" s="40">
        <v>2.4</v>
      </c>
      <c r="U29" s="40">
        <v>-1.7</v>
      </c>
      <c r="V29" s="41">
        <v>2</v>
      </c>
      <c r="W29" s="40">
        <v>-0.7</v>
      </c>
      <c r="X29" s="40">
        <v>0.4</v>
      </c>
      <c r="Y29" s="40">
        <v>-3.4</v>
      </c>
      <c r="Z29" s="41">
        <v>-0.1</v>
      </c>
      <c r="AA29" s="40">
        <v>0.7</v>
      </c>
      <c r="AB29" s="40">
        <v>-0.2</v>
      </c>
      <c r="AC29" s="40">
        <v>-0.5</v>
      </c>
      <c r="AD29" s="41">
        <v>-0.4</v>
      </c>
      <c r="AE29" s="40">
        <v>1.1</v>
      </c>
      <c r="AF29" s="40">
        <v>-0.9</v>
      </c>
      <c r="AG29" s="40">
        <v>0.3</v>
      </c>
      <c r="AH29" s="87"/>
      <c r="AI29" s="87"/>
      <c r="AJ29" s="13"/>
      <c r="AK29" s="13"/>
      <c r="AL29" s="13"/>
      <c r="AM29" s="87"/>
      <c r="AN29" s="87"/>
      <c r="AO29" s="87"/>
    </row>
    <row r="30" spans="1:41" s="13" customFormat="1" ht="12.75">
      <c r="A30" s="99" t="s">
        <v>290</v>
      </c>
      <c r="B30" s="99" t="s">
        <v>87</v>
      </c>
      <c r="C30" s="94">
        <f>C25+C28</f>
        <v>0</v>
      </c>
      <c r="D30" s="95">
        <f aca="true" t="shared" si="13" ref="D30:X30">D25+D28</f>
        <v>-0.19999999999999996</v>
      </c>
      <c r="E30" s="95">
        <f t="shared" si="13"/>
        <v>1.6</v>
      </c>
      <c r="F30" s="95">
        <f t="shared" si="13"/>
        <v>-0.5999999999999996</v>
      </c>
      <c r="G30" s="94">
        <f t="shared" si="13"/>
        <v>0.6999999999999997</v>
      </c>
      <c r="H30" s="95">
        <f t="shared" si="13"/>
        <v>-0.7000000000000028</v>
      </c>
      <c r="I30" s="95">
        <f t="shared" si="13"/>
        <v>2.7</v>
      </c>
      <c r="J30" s="96">
        <f t="shared" si="13"/>
        <v>1.899999999999966</v>
      </c>
      <c r="K30" s="94">
        <f t="shared" si="13"/>
        <v>17.9</v>
      </c>
      <c r="L30" s="95">
        <f t="shared" si="13"/>
        <v>5.999999999999997</v>
      </c>
      <c r="M30" s="95">
        <f t="shared" si="13"/>
        <v>-6.700000000000005</v>
      </c>
      <c r="N30" s="96">
        <f t="shared" si="13"/>
        <v>2.8999999999999972</v>
      </c>
      <c r="O30" s="94">
        <f t="shared" si="13"/>
        <v>-6.9</v>
      </c>
      <c r="P30" s="95">
        <f t="shared" si="13"/>
        <v>-15.300000000000011</v>
      </c>
      <c r="Q30" s="95">
        <f t="shared" si="13"/>
        <v>-7.900000000000006</v>
      </c>
      <c r="R30" s="96">
        <f t="shared" si="13"/>
        <v>18</v>
      </c>
      <c r="S30" s="94">
        <f t="shared" si="13"/>
        <v>-16.29999999999999</v>
      </c>
      <c r="T30" s="95">
        <f t="shared" si="13"/>
        <v>-3.2000000000000086</v>
      </c>
      <c r="U30" s="95">
        <f t="shared" si="13"/>
        <v>-23.600000000000005</v>
      </c>
      <c r="V30" s="96">
        <f t="shared" si="13"/>
        <v>9.7</v>
      </c>
      <c r="W30" s="95">
        <f t="shared" si="13"/>
        <v>1.6999999999999986</v>
      </c>
      <c r="X30" s="95">
        <f t="shared" si="13"/>
        <v>-5.200000000000001</v>
      </c>
      <c r="Y30" s="95">
        <f aca="true" t="shared" si="14" ref="Y30:AG30">Y25+Y28</f>
        <v>-5.500000000000009</v>
      </c>
      <c r="Z30" s="96">
        <f t="shared" si="14"/>
        <v>-4.299999999999995</v>
      </c>
      <c r="AA30" s="95">
        <f t="shared" si="14"/>
        <v>-18.999999999999996</v>
      </c>
      <c r="AB30" s="95">
        <f t="shared" si="14"/>
        <v>11.500000000000004</v>
      </c>
      <c r="AC30" s="95">
        <f t="shared" si="14"/>
        <v>2.3</v>
      </c>
      <c r="AD30" s="96">
        <f t="shared" si="14"/>
        <v>3.6999999999999997</v>
      </c>
      <c r="AE30" s="95">
        <f t="shared" si="14"/>
        <v>0.6000000000000001</v>
      </c>
      <c r="AF30" s="95">
        <f t="shared" si="14"/>
        <v>3.0000000000000058</v>
      </c>
      <c r="AG30" s="95">
        <f t="shared" si="14"/>
        <v>7.2000000000000055</v>
      </c>
      <c r="AH30" s="87"/>
      <c r="AI30" s="87"/>
      <c r="AJ30" s="3"/>
      <c r="AK30" s="3"/>
      <c r="AL30" s="3"/>
      <c r="AM30" s="87"/>
      <c r="AN30" s="87"/>
      <c r="AO30" s="87"/>
    </row>
    <row r="31" spans="1:30" ht="12.75">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D31" s="87"/>
    </row>
    <row r="32" spans="1:33" ht="12.75">
      <c r="A32" s="3"/>
      <c r="B32" s="3"/>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row>
    <row r="33" spans="1:33" ht="12.75">
      <c r="A33" s="3"/>
      <c r="B33" s="3"/>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row>
    <row r="34" spans="1:2" ht="12.75">
      <c r="A34" s="3"/>
      <c r="B34" s="3"/>
    </row>
    <row r="35" spans="1:31" ht="12.75">
      <c r="A35" s="3"/>
      <c r="B35" s="3"/>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row>
    <row r="36" spans="1:33" ht="12.75">
      <c r="A36" s="3"/>
      <c r="B36" s="3"/>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row>
    <row r="37" spans="1:33" ht="12.75">
      <c r="A37" s="3"/>
      <c r="B37" s="3"/>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row>
    <row r="38" spans="1:33" ht="12.75">
      <c r="A38" s="3"/>
      <c r="B38" s="3"/>
      <c r="AA38" s="97"/>
      <c r="AB38" s="97"/>
      <c r="AC38" s="97"/>
      <c r="AD38" s="97"/>
      <c r="AE38" s="97"/>
      <c r="AF38" s="97"/>
      <c r="AG38" s="97"/>
    </row>
    <row r="39" spans="1:2" ht="12.75">
      <c r="A39" s="3"/>
      <c r="B39" s="3"/>
    </row>
  </sheetData>
  <sheetProtection/>
  <mergeCells count="10">
    <mergeCell ref="AE2:AG2"/>
    <mergeCell ref="AA2:AC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horizontalDpi="600" verticalDpi="600" orientation="landscape" paperSize="9" scale="62" r:id="rId1"/>
  <headerFooter alignWithMargins="0">
    <oddHeader>&amp;C&amp;"Times New Roman,Kursywa"&amp;12
</oddHeader>
  </headerFooter>
  <ignoredErrors>
    <ignoredError sqref="AD8:AG8" formulaRange="1"/>
  </ignoredErrors>
</worksheet>
</file>

<file path=xl/worksheets/sheet8.xml><?xml version="1.0" encoding="utf-8"?>
<worksheet xmlns="http://schemas.openxmlformats.org/spreadsheetml/2006/main" xmlns:r="http://schemas.openxmlformats.org/officeDocument/2006/relationships">
  <sheetPr>
    <outlinePr summaryBelow="0"/>
  </sheetPr>
  <dimension ref="A1:AG62"/>
  <sheetViews>
    <sheetView showGridLines="0" view="pageBreakPreview" zoomScale="85" zoomScaleSheetLayoutView="85" zoomScalePageLayoutView="80" workbookViewId="0" topLeftCell="A1">
      <pane xSplit="2" ySplit="4" topLeftCell="M5" activePane="bottomRight" state="frozen"/>
      <selection pane="topLeft" activeCell="B2" sqref="B2:B3"/>
      <selection pane="topRight" activeCell="B2" sqref="B2:B3"/>
      <selection pane="bottomLeft" activeCell="B2" sqref="B2:B3"/>
      <selection pane="bottomRight" activeCell="A2" sqref="A2:A3"/>
    </sheetView>
  </sheetViews>
  <sheetFormatPr defaultColWidth="9.00390625" defaultRowHeight="12.75" outlineLevelRow="1" outlineLevelCol="1"/>
  <cols>
    <col min="1" max="1" width="56.625" style="2" customWidth="1"/>
    <col min="2" max="2" width="63.50390625" style="2" hidden="1" customWidth="1" outlineLevel="1"/>
    <col min="3" max="3" width="7.50390625" style="12" bestFit="1" customWidth="1" collapsed="1"/>
    <col min="4" max="6" width="7.00390625" style="12" bestFit="1" customWidth="1"/>
    <col min="7" max="10" width="7.50390625" style="12" bestFit="1" customWidth="1"/>
    <col min="11" max="14" width="7.00390625" style="12" bestFit="1" customWidth="1"/>
    <col min="15" max="30" width="7.50390625" style="12" bestFit="1" customWidth="1"/>
    <col min="31" max="31" width="7.50390625" style="12" customWidth="1"/>
    <col min="32" max="33" width="7.50390625" style="12" bestFit="1" customWidth="1"/>
    <col min="34" max="16384" width="8.875" style="3" customWidth="1"/>
  </cols>
  <sheetData>
    <row r="1" spans="1:2" ht="12.75">
      <c r="A1" s="259" t="s">
        <v>585</v>
      </c>
      <c r="B1" s="259" t="s">
        <v>586</v>
      </c>
    </row>
    <row r="2" spans="1:33" ht="12.75">
      <c r="A2" s="343" t="s">
        <v>209</v>
      </c>
      <c r="B2" s="343" t="s">
        <v>41</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2"/>
      <c r="AA2" s="350">
        <v>2013</v>
      </c>
      <c r="AB2" s="351"/>
      <c r="AC2" s="351"/>
      <c r="AD2" s="352"/>
      <c r="AE2" s="350">
        <v>2014</v>
      </c>
      <c r="AF2" s="351"/>
      <c r="AG2" s="351"/>
    </row>
    <row r="3" spans="1:33" s="4" customFormat="1" ht="36" customHeight="1">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6" t="s">
        <v>183</v>
      </c>
      <c r="AA3" s="197" t="s">
        <v>180</v>
      </c>
      <c r="AB3" s="198" t="s">
        <v>181</v>
      </c>
      <c r="AC3" s="198" t="s">
        <v>182</v>
      </c>
      <c r="AD3" s="199" t="s">
        <v>183</v>
      </c>
      <c r="AE3" s="198" t="s">
        <v>180</v>
      </c>
      <c r="AF3" s="198" t="s">
        <v>181</v>
      </c>
      <c r="AG3" s="198" t="s">
        <v>182</v>
      </c>
    </row>
    <row r="4" spans="1:33" s="29" customFormat="1" ht="11.25" customHeight="1">
      <c r="A4" s="20" t="s">
        <v>185</v>
      </c>
      <c r="B4" s="20" t="s">
        <v>12</v>
      </c>
      <c r="C4" s="26"/>
      <c r="D4" s="27"/>
      <c r="E4" s="27"/>
      <c r="F4" s="27"/>
      <c r="G4" s="26"/>
      <c r="H4" s="27"/>
      <c r="I4" s="27"/>
      <c r="J4" s="28"/>
      <c r="K4" s="26"/>
      <c r="L4" s="27"/>
      <c r="M4" s="27"/>
      <c r="N4" s="28"/>
      <c r="O4" s="26"/>
      <c r="P4" s="27"/>
      <c r="Q4" s="27"/>
      <c r="R4" s="28"/>
      <c r="S4" s="26"/>
      <c r="T4" s="27"/>
      <c r="U4" s="27"/>
      <c r="V4" s="28"/>
      <c r="W4" s="27"/>
      <c r="X4" s="27"/>
      <c r="Y4" s="27"/>
      <c r="Z4" s="28"/>
      <c r="AA4" s="26"/>
      <c r="AB4" s="27"/>
      <c r="AC4" s="27"/>
      <c r="AD4" s="28"/>
      <c r="AE4" s="27"/>
      <c r="AF4" s="27"/>
      <c r="AG4" s="27"/>
    </row>
    <row r="5" spans="1:33" s="7" customFormat="1" ht="12.75">
      <c r="A5" s="37" t="s">
        <v>228</v>
      </c>
      <c r="B5" s="37" t="s">
        <v>13</v>
      </c>
      <c r="C5" s="26"/>
      <c r="D5" s="111"/>
      <c r="E5" s="27"/>
      <c r="F5" s="111"/>
      <c r="G5" s="26"/>
      <c r="H5" s="111"/>
      <c r="I5" s="27"/>
      <c r="J5" s="112"/>
      <c r="K5" s="26"/>
      <c r="L5" s="111"/>
      <c r="M5" s="27"/>
      <c r="N5" s="112"/>
      <c r="O5" s="26"/>
      <c r="P5" s="111"/>
      <c r="Q5" s="27"/>
      <c r="R5" s="112"/>
      <c r="S5" s="26"/>
      <c r="T5" s="111"/>
      <c r="U5" s="27"/>
      <c r="V5" s="112"/>
      <c r="W5" s="27"/>
      <c r="X5" s="27"/>
      <c r="Y5" s="27"/>
      <c r="Z5" s="28"/>
      <c r="AA5" s="26"/>
      <c r="AB5" s="27"/>
      <c r="AC5" s="27"/>
      <c r="AD5" s="28"/>
      <c r="AE5" s="27"/>
      <c r="AF5" s="27"/>
      <c r="AG5" s="27"/>
    </row>
    <row r="6" spans="1:33" s="7" customFormat="1" ht="12.75">
      <c r="A6" s="88" t="s">
        <v>210</v>
      </c>
      <c r="B6" s="88" t="s">
        <v>14</v>
      </c>
      <c r="C6" s="39">
        <v>1807.6</v>
      </c>
      <c r="D6" s="40">
        <v>2608.9</v>
      </c>
      <c r="E6" s="40">
        <v>1593</v>
      </c>
      <c r="F6" s="40">
        <v>1841.7</v>
      </c>
      <c r="G6" s="39">
        <v>1661.3</v>
      </c>
      <c r="H6" s="40">
        <v>1622.9</v>
      </c>
      <c r="I6" s="40">
        <v>2151.3</v>
      </c>
      <c r="J6" s="41">
        <v>1369.8</v>
      </c>
      <c r="K6" s="39">
        <v>1584.3</v>
      </c>
      <c r="L6" s="40">
        <v>903.3</v>
      </c>
      <c r="M6" s="40">
        <v>1686</v>
      </c>
      <c r="N6" s="41">
        <v>2656.6</v>
      </c>
      <c r="O6" s="39">
        <v>2387.8</v>
      </c>
      <c r="P6" s="40">
        <v>2158.5</v>
      </c>
      <c r="Q6" s="40">
        <v>1265.1</v>
      </c>
      <c r="R6" s="41">
        <v>2394.2</v>
      </c>
      <c r="S6" s="39">
        <v>1401.5</v>
      </c>
      <c r="T6" s="40">
        <v>1566.6</v>
      </c>
      <c r="U6" s="40">
        <v>4064.9</v>
      </c>
      <c r="V6" s="41">
        <v>1493.1</v>
      </c>
      <c r="W6" s="40">
        <v>1558.1</v>
      </c>
      <c r="X6" s="40">
        <v>2321.2</v>
      </c>
      <c r="Y6" s="40">
        <v>2126</v>
      </c>
      <c r="Z6" s="41">
        <v>4071.6</v>
      </c>
      <c r="AA6" s="39">
        <v>3534.4</v>
      </c>
      <c r="AB6" s="40">
        <v>1673.5</v>
      </c>
      <c r="AC6" s="40">
        <v>4577.6</v>
      </c>
      <c r="AD6" s="41">
        <v>6970.1</v>
      </c>
      <c r="AE6" s="40">
        <v>7304.2</v>
      </c>
      <c r="AF6" s="40">
        <v>7857.1</v>
      </c>
      <c r="AG6" s="40">
        <v>3008</v>
      </c>
    </row>
    <row r="7" spans="1:33" s="7" customFormat="1" ht="12.75">
      <c r="A7" s="88" t="s">
        <v>211</v>
      </c>
      <c r="B7" s="88" t="s">
        <v>15</v>
      </c>
      <c r="C7" s="39">
        <v>16614.2</v>
      </c>
      <c r="D7" s="40">
        <v>18078.9</v>
      </c>
      <c r="E7" s="40">
        <v>17532.8</v>
      </c>
      <c r="F7" s="40">
        <v>15183.7</v>
      </c>
      <c r="G7" s="39">
        <v>14080.6</v>
      </c>
      <c r="H7" s="40">
        <v>9002</v>
      </c>
      <c r="I7" s="40">
        <v>7244.5</v>
      </c>
      <c r="J7" s="41">
        <v>7787.2</v>
      </c>
      <c r="K7" s="39">
        <v>2947.5</v>
      </c>
      <c r="L7" s="40">
        <v>3233.7</v>
      </c>
      <c r="M7" s="40">
        <v>3639.9</v>
      </c>
      <c r="N7" s="41">
        <v>1184.1</v>
      </c>
      <c r="O7" s="39">
        <v>1280.7</v>
      </c>
      <c r="P7" s="40">
        <v>1940.1</v>
      </c>
      <c r="Q7" s="40">
        <v>1859.2</v>
      </c>
      <c r="R7" s="41">
        <v>1181.1</v>
      </c>
      <c r="S7" s="39">
        <v>2386.8</v>
      </c>
      <c r="T7" s="40">
        <v>1758.3</v>
      </c>
      <c r="U7" s="40">
        <v>2706.4</v>
      </c>
      <c r="V7" s="41">
        <v>1018.1</v>
      </c>
      <c r="W7" s="40">
        <v>1478.4</v>
      </c>
      <c r="X7" s="40">
        <v>1605.3000000000002</v>
      </c>
      <c r="Y7" s="40">
        <v>3415.4999999999995</v>
      </c>
      <c r="Z7" s="41">
        <v>1377.0999999999997</v>
      </c>
      <c r="AA7" s="39">
        <v>1600.2999999999995</v>
      </c>
      <c r="AB7" s="40">
        <v>2043.8000000000002</v>
      </c>
      <c r="AC7" s="40">
        <v>2501.7</v>
      </c>
      <c r="AD7" s="41">
        <v>1399.8000000000002</v>
      </c>
      <c r="AE7" s="40">
        <v>2050.9</v>
      </c>
      <c r="AF7" s="40">
        <v>2576.1000000000004</v>
      </c>
      <c r="AG7" s="40">
        <v>2512.600000000001</v>
      </c>
    </row>
    <row r="8" spans="1:33" s="7" customFormat="1" ht="12.75">
      <c r="A8" s="88" t="s">
        <v>212</v>
      </c>
      <c r="B8" s="88" t="s">
        <v>16</v>
      </c>
      <c r="C8" s="39">
        <v>10221.1</v>
      </c>
      <c r="D8" s="40">
        <v>6148.3</v>
      </c>
      <c r="E8" s="40">
        <v>7099.7</v>
      </c>
      <c r="F8" s="40">
        <v>6256.5</v>
      </c>
      <c r="G8" s="39">
        <v>9177.2</v>
      </c>
      <c r="H8" s="40">
        <v>8974.2</v>
      </c>
      <c r="I8" s="40">
        <v>11196.3</v>
      </c>
      <c r="J8" s="41">
        <v>10548.8</v>
      </c>
      <c r="K8" s="39">
        <v>11977.4</v>
      </c>
      <c r="L8" s="40">
        <v>10822.1</v>
      </c>
      <c r="M8" s="40">
        <v>12177.7</v>
      </c>
      <c r="N8" s="41">
        <v>8267.7</v>
      </c>
      <c r="O8" s="39">
        <v>3758.4</v>
      </c>
      <c r="P8" s="40">
        <v>1451.5</v>
      </c>
      <c r="Q8" s="40">
        <v>3945.7</v>
      </c>
      <c r="R8" s="41">
        <v>659.6</v>
      </c>
      <c r="S8" s="39">
        <v>576.9</v>
      </c>
      <c r="T8" s="40">
        <v>572.5</v>
      </c>
      <c r="U8" s="40">
        <v>1120.5</v>
      </c>
      <c r="V8" s="41">
        <v>639.6</v>
      </c>
      <c r="W8" s="40">
        <v>1425.7</v>
      </c>
      <c r="X8" s="40">
        <v>791.5</v>
      </c>
      <c r="Y8" s="40">
        <v>1522.6</v>
      </c>
      <c r="Z8" s="41">
        <v>1554.6</v>
      </c>
      <c r="AA8" s="39">
        <v>1412.1</v>
      </c>
      <c r="AB8" s="40">
        <v>2057.4</v>
      </c>
      <c r="AC8" s="40">
        <v>1603.7</v>
      </c>
      <c r="AD8" s="41">
        <v>1951.4</v>
      </c>
      <c r="AE8" s="40">
        <v>2700.3</v>
      </c>
      <c r="AF8" s="40">
        <v>2903.7</v>
      </c>
      <c r="AG8" s="40">
        <v>1455.3999999999999</v>
      </c>
    </row>
    <row r="9" spans="1:33" s="7" customFormat="1" ht="12.75">
      <c r="A9" s="88" t="s">
        <v>213</v>
      </c>
      <c r="B9" s="88" t="s">
        <v>17</v>
      </c>
      <c r="C9" s="39">
        <v>893.8</v>
      </c>
      <c r="D9" s="40">
        <v>849.7</v>
      </c>
      <c r="E9" s="40">
        <v>1144.1999999999998</v>
      </c>
      <c r="F9" s="40">
        <v>1651</v>
      </c>
      <c r="G9" s="39">
        <v>2061.5</v>
      </c>
      <c r="H9" s="40">
        <v>2185.9</v>
      </c>
      <c r="I9" s="40">
        <v>1621.6</v>
      </c>
      <c r="J9" s="41">
        <v>4579.8</v>
      </c>
      <c r="K9" s="39">
        <v>5167.4</v>
      </c>
      <c r="L9" s="40">
        <v>3242</v>
      </c>
      <c r="M9" s="40">
        <v>1953.3</v>
      </c>
      <c r="N9" s="41">
        <v>1566.7</v>
      </c>
      <c r="O9" s="39">
        <v>1408.3</v>
      </c>
      <c r="P9" s="40">
        <v>1755.7</v>
      </c>
      <c r="Q9" s="40">
        <v>1527.9</v>
      </c>
      <c r="R9" s="41">
        <v>1158.9</v>
      </c>
      <c r="S9" s="39">
        <v>879.1</v>
      </c>
      <c r="T9" s="40">
        <v>912.6</v>
      </c>
      <c r="U9" s="40">
        <v>1782</v>
      </c>
      <c r="V9" s="41">
        <v>1858.4</v>
      </c>
      <c r="W9" s="40">
        <v>1293.9</v>
      </c>
      <c r="X9" s="40">
        <v>1235.1000000000001</v>
      </c>
      <c r="Y9" s="40">
        <v>1524.7000000000003</v>
      </c>
      <c r="Z9" s="41">
        <v>1822.1000000000001</v>
      </c>
      <c r="AA9" s="39">
        <v>1572.1</v>
      </c>
      <c r="AB9" s="40">
        <v>1519.3</v>
      </c>
      <c r="AC9" s="40">
        <v>1329.4</v>
      </c>
      <c r="AD9" s="41">
        <v>1471.4</v>
      </c>
      <c r="AE9" s="40">
        <v>1352.3999999999999</v>
      </c>
      <c r="AF9" s="40">
        <v>1467.3999999999999</v>
      </c>
      <c r="AG9" s="40">
        <v>1998.4999999999998</v>
      </c>
    </row>
    <row r="10" spans="1:33" s="7" customFormat="1" ht="12.75">
      <c r="A10" s="88" t="s">
        <v>214</v>
      </c>
      <c r="B10" s="88" t="s">
        <v>614</v>
      </c>
      <c r="C10" s="39">
        <f>SUM(C11:C12)</f>
        <v>12001.7</v>
      </c>
      <c r="D10" s="40">
        <f aca="true" t="shared" si="0" ref="D10:X10">SUM(D11:D12)</f>
        <v>9593.8</v>
      </c>
      <c r="E10" s="40">
        <f t="shared" si="0"/>
        <v>9149.900000000001</v>
      </c>
      <c r="F10" s="40">
        <f t="shared" si="0"/>
        <v>9388.3</v>
      </c>
      <c r="G10" s="39">
        <f t="shared" si="0"/>
        <v>13933.400000000001</v>
      </c>
      <c r="H10" s="40">
        <f t="shared" si="0"/>
        <v>17001.2</v>
      </c>
      <c r="I10" s="40">
        <f t="shared" si="0"/>
        <v>19710.7</v>
      </c>
      <c r="J10" s="41">
        <f t="shared" si="0"/>
        <v>18050.9</v>
      </c>
      <c r="K10" s="39">
        <f t="shared" si="0"/>
        <v>15901.9</v>
      </c>
      <c r="L10" s="40">
        <f t="shared" si="0"/>
        <v>15568.2</v>
      </c>
      <c r="M10" s="40">
        <f t="shared" si="0"/>
        <v>14334.5</v>
      </c>
      <c r="N10" s="41">
        <f t="shared" si="0"/>
        <v>14166.3</v>
      </c>
      <c r="O10" s="39">
        <f t="shared" si="0"/>
        <v>21639.699999999997</v>
      </c>
      <c r="P10" s="40">
        <f t="shared" si="0"/>
        <v>21008.7</v>
      </c>
      <c r="Q10" s="40">
        <f t="shared" si="0"/>
        <v>18736.4</v>
      </c>
      <c r="R10" s="41">
        <f t="shared" si="0"/>
        <v>23006.8</v>
      </c>
      <c r="S10" s="39">
        <f t="shared" si="0"/>
        <v>23574.1</v>
      </c>
      <c r="T10" s="40">
        <f t="shared" si="0"/>
        <v>23947.5</v>
      </c>
      <c r="U10" s="40">
        <f t="shared" si="0"/>
        <v>22396.3</v>
      </c>
      <c r="V10" s="41">
        <f t="shared" si="0"/>
        <v>20450.7</v>
      </c>
      <c r="W10" s="40">
        <f t="shared" si="0"/>
        <v>16819.8</v>
      </c>
      <c r="X10" s="40">
        <f t="shared" si="0"/>
        <v>13817.5</v>
      </c>
      <c r="Y10" s="40">
        <f aca="true" t="shared" si="1" ref="Y10:AD10">SUM(Y11:Y12)</f>
        <v>13536.1</v>
      </c>
      <c r="Z10" s="41">
        <f t="shared" si="1"/>
        <v>17881.1</v>
      </c>
      <c r="AA10" s="39">
        <f t="shared" si="1"/>
        <v>18003.9</v>
      </c>
      <c r="AB10" s="40">
        <f t="shared" si="1"/>
        <v>20256.699999999997</v>
      </c>
      <c r="AC10" s="40">
        <f t="shared" si="1"/>
        <v>19794</v>
      </c>
      <c r="AD10" s="41">
        <f t="shared" si="1"/>
        <v>19493.600000000002</v>
      </c>
      <c r="AE10" s="40">
        <f>SUM(AE11:AE12)</f>
        <v>20994.899999999998</v>
      </c>
      <c r="AF10" s="40">
        <f>SUM(AF11:AF12)</f>
        <v>22090.4</v>
      </c>
      <c r="AG10" s="40">
        <f>SUM(AG11:AG12)</f>
        <v>23190.600000000002</v>
      </c>
    </row>
    <row r="11" spans="1:33" s="283" customFormat="1" ht="9.75" outlineLevel="1">
      <c r="A11" s="106" t="s">
        <v>215</v>
      </c>
      <c r="B11" s="293" t="s">
        <v>18</v>
      </c>
      <c r="C11" s="57">
        <v>12001.7</v>
      </c>
      <c r="D11" s="58">
        <v>9593.8</v>
      </c>
      <c r="E11" s="58">
        <v>8529.2</v>
      </c>
      <c r="F11" s="58">
        <v>8547.5</v>
      </c>
      <c r="G11" s="57">
        <v>10159.7</v>
      </c>
      <c r="H11" s="58">
        <v>10816.2</v>
      </c>
      <c r="I11" s="58">
        <v>12385.2</v>
      </c>
      <c r="J11" s="59">
        <v>10739.1</v>
      </c>
      <c r="K11" s="57">
        <v>8517.5</v>
      </c>
      <c r="L11" s="58">
        <v>8329.5</v>
      </c>
      <c r="M11" s="58">
        <v>6990.8</v>
      </c>
      <c r="N11" s="59">
        <v>6835.9</v>
      </c>
      <c r="O11" s="57">
        <v>14852.8</v>
      </c>
      <c r="P11" s="58">
        <v>14323.7</v>
      </c>
      <c r="Q11" s="58">
        <v>12239.9</v>
      </c>
      <c r="R11" s="59">
        <v>16788.8</v>
      </c>
      <c r="S11" s="57">
        <v>17266.8</v>
      </c>
      <c r="T11" s="58">
        <v>18998.1</v>
      </c>
      <c r="U11" s="58">
        <v>17379.6</v>
      </c>
      <c r="V11" s="59">
        <v>15468.4</v>
      </c>
      <c r="W11" s="58">
        <v>11765.1</v>
      </c>
      <c r="X11" s="58">
        <v>10299</v>
      </c>
      <c r="Y11" s="58">
        <v>13536.1</v>
      </c>
      <c r="Z11" s="59">
        <v>17881.1</v>
      </c>
      <c r="AA11" s="57">
        <v>18003.9</v>
      </c>
      <c r="AB11" s="58">
        <v>20256.699999999997</v>
      </c>
      <c r="AC11" s="58">
        <v>19794</v>
      </c>
      <c r="AD11" s="59">
        <v>19493.600000000002</v>
      </c>
      <c r="AE11" s="58">
        <v>20994.899999999998</v>
      </c>
      <c r="AF11" s="58">
        <v>22090.4</v>
      </c>
      <c r="AG11" s="58">
        <v>23190.600000000002</v>
      </c>
    </row>
    <row r="12" spans="1:33" s="283" customFormat="1" ht="9.75" outlineLevel="1">
      <c r="A12" s="107" t="s">
        <v>216</v>
      </c>
      <c r="B12" s="292" t="s">
        <v>19</v>
      </c>
      <c r="C12" s="57">
        <v>0</v>
      </c>
      <c r="D12" s="58">
        <v>0</v>
      </c>
      <c r="E12" s="58">
        <v>620.7</v>
      </c>
      <c r="F12" s="58">
        <v>840.8</v>
      </c>
      <c r="G12" s="57">
        <v>3773.7</v>
      </c>
      <c r="H12" s="58">
        <v>6185</v>
      </c>
      <c r="I12" s="58">
        <v>7325.5</v>
      </c>
      <c r="J12" s="59">
        <v>7311.8</v>
      </c>
      <c r="K12" s="57">
        <v>7384.4</v>
      </c>
      <c r="L12" s="58">
        <v>7238.7</v>
      </c>
      <c r="M12" s="58">
        <v>7343.7</v>
      </c>
      <c r="N12" s="59">
        <v>7330.4</v>
      </c>
      <c r="O12" s="57">
        <v>6786.9</v>
      </c>
      <c r="P12" s="58">
        <v>6685</v>
      </c>
      <c r="Q12" s="58">
        <v>6496.5</v>
      </c>
      <c r="R12" s="59">
        <v>6218</v>
      </c>
      <c r="S12" s="57">
        <v>6307.3</v>
      </c>
      <c r="T12" s="58">
        <v>4949.4</v>
      </c>
      <c r="U12" s="58">
        <v>5016.7</v>
      </c>
      <c r="V12" s="59">
        <v>4982.3</v>
      </c>
      <c r="W12" s="58">
        <v>5054.7</v>
      </c>
      <c r="X12" s="58">
        <v>3518.5</v>
      </c>
      <c r="Y12" s="58">
        <v>0</v>
      </c>
      <c r="Z12" s="59">
        <v>0</v>
      </c>
      <c r="AA12" s="57">
        <v>0</v>
      </c>
      <c r="AB12" s="58">
        <v>0</v>
      </c>
      <c r="AC12" s="58">
        <v>0</v>
      </c>
      <c r="AD12" s="59">
        <v>0</v>
      </c>
      <c r="AE12" s="58">
        <v>0</v>
      </c>
      <c r="AF12" s="58">
        <v>0</v>
      </c>
      <c r="AG12" s="58">
        <v>0</v>
      </c>
    </row>
    <row r="13" spans="1:33" s="9" customFormat="1" ht="12.75">
      <c r="A13" s="90" t="s">
        <v>217</v>
      </c>
      <c r="B13" s="90" t="s">
        <v>20</v>
      </c>
      <c r="C13" s="39">
        <v>2</v>
      </c>
      <c r="D13" s="40">
        <v>3.8</v>
      </c>
      <c r="E13" s="40">
        <v>4</v>
      </c>
      <c r="F13" s="40">
        <v>4.6</v>
      </c>
      <c r="G13" s="39">
        <v>3.6</v>
      </c>
      <c r="H13" s="40">
        <v>76</v>
      </c>
      <c r="I13" s="40">
        <v>70.4</v>
      </c>
      <c r="J13" s="41">
        <v>197</v>
      </c>
      <c r="K13" s="39">
        <v>212.4</v>
      </c>
      <c r="L13" s="40">
        <v>91</v>
      </c>
      <c r="M13" s="40">
        <v>64.6</v>
      </c>
      <c r="N13" s="41">
        <v>90.4</v>
      </c>
      <c r="O13" s="39">
        <v>111.7</v>
      </c>
      <c r="P13" s="40">
        <v>88.1</v>
      </c>
      <c r="Q13" s="40">
        <v>86.1</v>
      </c>
      <c r="R13" s="41">
        <v>104.8</v>
      </c>
      <c r="S13" s="39">
        <v>112.3</v>
      </c>
      <c r="T13" s="40">
        <v>168</v>
      </c>
      <c r="U13" s="40">
        <v>337.1</v>
      </c>
      <c r="V13" s="41">
        <v>433.4</v>
      </c>
      <c r="W13" s="40">
        <v>349.2</v>
      </c>
      <c r="X13" s="40">
        <v>420</v>
      </c>
      <c r="Y13" s="40">
        <v>675.3</v>
      </c>
      <c r="Z13" s="41">
        <v>1112.6</v>
      </c>
      <c r="AA13" s="39">
        <v>1066.9</v>
      </c>
      <c r="AB13" s="40">
        <v>990.7</v>
      </c>
      <c r="AC13" s="40">
        <v>994.1</v>
      </c>
      <c r="AD13" s="41">
        <v>1051.9</v>
      </c>
      <c r="AE13" s="40">
        <v>1011.1</v>
      </c>
      <c r="AF13" s="40">
        <v>1653</v>
      </c>
      <c r="AG13" s="40">
        <v>2370.9</v>
      </c>
    </row>
    <row r="14" spans="1:33" s="7" customFormat="1" ht="12.75">
      <c r="A14" s="88" t="s">
        <v>218</v>
      </c>
      <c r="B14" s="88" t="s">
        <v>21</v>
      </c>
      <c r="C14" s="39">
        <v>13782.6</v>
      </c>
      <c r="D14" s="40">
        <v>14567.2</v>
      </c>
      <c r="E14" s="40">
        <v>15449.4</v>
      </c>
      <c r="F14" s="40">
        <v>16379.1</v>
      </c>
      <c r="G14" s="39">
        <v>18039.9</v>
      </c>
      <c r="H14" s="40">
        <v>19569.4</v>
      </c>
      <c r="I14" s="40">
        <v>21915.8</v>
      </c>
      <c r="J14" s="41">
        <v>25584.7</v>
      </c>
      <c r="K14" s="39">
        <v>28871.3</v>
      </c>
      <c r="L14" s="40">
        <v>28613.899999999998</v>
      </c>
      <c r="M14" s="40">
        <v>28835.2</v>
      </c>
      <c r="N14" s="41">
        <v>29966.1</v>
      </c>
      <c r="O14" s="39">
        <v>29973.3</v>
      </c>
      <c r="P14" s="40">
        <v>31653.100000000002</v>
      </c>
      <c r="Q14" s="40">
        <v>33229.799999999996</v>
      </c>
      <c r="R14" s="41">
        <v>34509</v>
      </c>
      <c r="S14" s="39">
        <v>35292.9</v>
      </c>
      <c r="T14" s="40">
        <v>37014.100000000006</v>
      </c>
      <c r="U14" s="40">
        <v>39699.6</v>
      </c>
      <c r="V14" s="41">
        <v>42329.7</v>
      </c>
      <c r="W14" s="40">
        <v>47717.299999999996</v>
      </c>
      <c r="X14" s="40">
        <v>48490.6</v>
      </c>
      <c r="Y14" s="40">
        <v>49275.1</v>
      </c>
      <c r="Z14" s="41">
        <v>48985.299999999996</v>
      </c>
      <c r="AA14" s="39">
        <v>49119.30000000001</v>
      </c>
      <c r="AB14" s="40">
        <v>50472.50000000001</v>
      </c>
      <c r="AC14" s="40">
        <v>52105.2</v>
      </c>
      <c r="AD14" s="41">
        <v>52237.899999999994</v>
      </c>
      <c r="AE14" s="40">
        <v>54597.1</v>
      </c>
      <c r="AF14" s="40">
        <v>57318.999999999985</v>
      </c>
      <c r="AG14" s="40">
        <v>60219</v>
      </c>
    </row>
    <row r="15" spans="1:33" s="7" customFormat="1" ht="12.75">
      <c r="A15" s="88" t="s">
        <v>581</v>
      </c>
      <c r="B15" s="88" t="s">
        <v>565</v>
      </c>
      <c r="C15" s="39">
        <v>0</v>
      </c>
      <c r="D15" s="40">
        <v>0</v>
      </c>
      <c r="E15" s="40">
        <v>0</v>
      </c>
      <c r="F15" s="40">
        <v>0</v>
      </c>
      <c r="G15" s="39">
        <v>0</v>
      </c>
      <c r="H15" s="40">
        <v>802.6</v>
      </c>
      <c r="I15" s="40">
        <v>71</v>
      </c>
      <c r="J15" s="41">
        <v>158.1</v>
      </c>
      <c r="K15" s="39">
        <v>169</v>
      </c>
      <c r="L15" s="40">
        <v>654.7</v>
      </c>
      <c r="M15" s="40">
        <v>214.8</v>
      </c>
      <c r="N15" s="41">
        <v>626.7</v>
      </c>
      <c r="O15" s="39">
        <v>186.3</v>
      </c>
      <c r="P15" s="40">
        <v>128.1</v>
      </c>
      <c r="Q15" s="40">
        <v>90.8</v>
      </c>
      <c r="R15" s="41">
        <v>0</v>
      </c>
      <c r="S15" s="39">
        <v>39.5</v>
      </c>
      <c r="T15" s="40">
        <v>80.7</v>
      </c>
      <c r="U15" s="40">
        <v>90.1</v>
      </c>
      <c r="V15" s="41">
        <v>0</v>
      </c>
      <c r="W15" s="40">
        <v>78.6</v>
      </c>
      <c r="X15" s="40">
        <v>0</v>
      </c>
      <c r="Y15" s="40">
        <v>0</v>
      </c>
      <c r="Z15" s="41">
        <v>0</v>
      </c>
      <c r="AA15" s="39">
        <v>0</v>
      </c>
      <c r="AB15" s="40">
        <v>1284.2</v>
      </c>
      <c r="AC15" s="40">
        <v>252.4</v>
      </c>
      <c r="AD15" s="41">
        <v>638.8</v>
      </c>
      <c r="AE15" s="40">
        <v>660.4</v>
      </c>
      <c r="AF15" s="40">
        <v>773.5</v>
      </c>
      <c r="AG15" s="40">
        <v>486.7</v>
      </c>
    </row>
    <row r="16" spans="1:33" s="9" customFormat="1" ht="12.75">
      <c r="A16" s="88" t="s">
        <v>219</v>
      </c>
      <c r="B16" s="88" t="s">
        <v>703</v>
      </c>
      <c r="C16" s="39">
        <v>102.7</v>
      </c>
      <c r="D16" s="40">
        <v>77</v>
      </c>
      <c r="E16" s="40">
        <v>86.6</v>
      </c>
      <c r="F16" s="40">
        <v>97.3</v>
      </c>
      <c r="G16" s="39">
        <v>108.9</v>
      </c>
      <c r="H16" s="40">
        <v>84.9</v>
      </c>
      <c r="I16" s="40">
        <v>97.9</v>
      </c>
      <c r="J16" s="41">
        <v>107.3</v>
      </c>
      <c r="K16" s="39">
        <v>117.4</v>
      </c>
      <c r="L16" s="40">
        <v>89.1</v>
      </c>
      <c r="M16" s="40">
        <v>99.5</v>
      </c>
      <c r="N16" s="41">
        <v>115.6</v>
      </c>
      <c r="O16" s="39">
        <v>122.9</v>
      </c>
      <c r="P16" s="40">
        <v>133.8</v>
      </c>
      <c r="Q16" s="40">
        <v>144.4</v>
      </c>
      <c r="R16" s="41">
        <v>156.8</v>
      </c>
      <c r="S16" s="39">
        <v>166.6</v>
      </c>
      <c r="T16" s="40">
        <v>86.6</v>
      </c>
      <c r="U16" s="40">
        <v>94.8</v>
      </c>
      <c r="V16" s="41">
        <v>105</v>
      </c>
      <c r="W16" s="40">
        <v>111.79999999999995</v>
      </c>
      <c r="X16" s="40">
        <v>96.79999999999995</v>
      </c>
      <c r="Y16" s="40">
        <v>104.29999999999995</v>
      </c>
      <c r="Z16" s="41">
        <v>114.39999999999998</v>
      </c>
      <c r="AA16" s="39">
        <v>123.29999999999995</v>
      </c>
      <c r="AB16" s="40">
        <v>115.10000000000002</v>
      </c>
      <c r="AC16" s="40">
        <v>124.39999999999998</v>
      </c>
      <c r="AD16" s="41">
        <v>136.5</v>
      </c>
      <c r="AE16" s="40">
        <v>147.69999999999993</v>
      </c>
      <c r="AF16" s="40">
        <v>-5.689893001203927E-15</v>
      </c>
      <c r="AG16" s="40">
        <v>0</v>
      </c>
    </row>
    <row r="17" spans="1:33" s="9" customFormat="1" ht="12.75">
      <c r="A17" s="88" t="s">
        <v>679</v>
      </c>
      <c r="B17" s="88" t="s">
        <v>668</v>
      </c>
      <c r="C17" s="39">
        <f>SUM(C18:C20)</f>
        <v>1040.8</v>
      </c>
      <c r="D17" s="40">
        <f>SUM(D18:D20)</f>
        <v>1020.9000000000001</v>
      </c>
      <c r="E17" s="40">
        <f>SUM(E18:E20)</f>
        <v>1013.2</v>
      </c>
      <c r="F17" s="40">
        <f aca="true" t="shared" si="2" ref="F17:AE17">SUM(F18:F20)</f>
        <v>996.3999999999999</v>
      </c>
      <c r="G17" s="39">
        <f t="shared" si="2"/>
        <v>998</v>
      </c>
      <c r="H17" s="40">
        <f t="shared" si="2"/>
        <v>975.9000000000001</v>
      </c>
      <c r="I17" s="40">
        <f t="shared" si="2"/>
        <v>972.9000000000001</v>
      </c>
      <c r="J17" s="41">
        <f t="shared" si="2"/>
        <v>1011.9000000000001</v>
      </c>
      <c r="K17" s="39">
        <f t="shared" si="2"/>
        <v>1013.6</v>
      </c>
      <c r="L17" s="40">
        <f t="shared" si="2"/>
        <v>1022.5</v>
      </c>
      <c r="M17" s="40">
        <f t="shared" si="2"/>
        <v>1009.1999999999999</v>
      </c>
      <c r="N17" s="41">
        <f t="shared" si="2"/>
        <v>1005.8</v>
      </c>
      <c r="O17" s="39">
        <f t="shared" si="2"/>
        <v>991.6</v>
      </c>
      <c r="P17" s="40">
        <f t="shared" si="2"/>
        <v>991.9</v>
      </c>
      <c r="Q17" s="40">
        <f t="shared" si="2"/>
        <v>986.7</v>
      </c>
      <c r="R17" s="41">
        <f t="shared" si="2"/>
        <v>1004.6000000000001</v>
      </c>
      <c r="S17" s="39">
        <f t="shared" si="2"/>
        <v>991.5</v>
      </c>
      <c r="T17" s="40">
        <f t="shared" si="2"/>
        <v>987.2</v>
      </c>
      <c r="U17" s="40">
        <f t="shared" si="2"/>
        <v>990.4000000000001</v>
      </c>
      <c r="V17" s="41">
        <f t="shared" si="2"/>
        <v>1056</v>
      </c>
      <c r="W17" s="40">
        <f t="shared" si="2"/>
        <v>1052.8000000000002</v>
      </c>
      <c r="X17" s="40">
        <f t="shared" si="2"/>
        <v>1057.0000000000002</v>
      </c>
      <c r="Y17" s="40">
        <f t="shared" si="2"/>
        <v>1063.2000000000003</v>
      </c>
      <c r="Z17" s="41">
        <f t="shared" si="2"/>
        <v>1082.5</v>
      </c>
      <c r="AA17" s="39">
        <f t="shared" si="2"/>
        <v>1047.8</v>
      </c>
      <c r="AB17" s="40">
        <f t="shared" si="2"/>
        <v>1028.1000000000001</v>
      </c>
      <c r="AC17" s="40">
        <f t="shared" si="2"/>
        <v>1017.2000000000002</v>
      </c>
      <c r="AD17" s="41">
        <f t="shared" si="2"/>
        <v>1063.8999999999999</v>
      </c>
      <c r="AE17" s="40">
        <f t="shared" si="2"/>
        <v>1050.2</v>
      </c>
      <c r="AF17" s="40">
        <f>SUM(AF18:AF20)</f>
        <v>1064</v>
      </c>
      <c r="AG17" s="40">
        <f>SUM(AG18:AG20)</f>
        <v>1055.6999999999998</v>
      </c>
    </row>
    <row r="18" spans="1:33" s="7" customFormat="1" ht="12.75" outlineLevel="1">
      <c r="A18" s="294" t="s">
        <v>220</v>
      </c>
      <c r="B18" s="292" t="s">
        <v>665</v>
      </c>
      <c r="C18" s="57">
        <v>150.1</v>
      </c>
      <c r="D18" s="58">
        <v>149.1</v>
      </c>
      <c r="E18" s="58">
        <v>151.1</v>
      </c>
      <c r="F18" s="58">
        <v>144.7</v>
      </c>
      <c r="G18" s="57">
        <v>145.8</v>
      </c>
      <c r="H18" s="58">
        <v>135.8</v>
      </c>
      <c r="I18" s="58">
        <v>135.8</v>
      </c>
      <c r="J18" s="59">
        <v>151.5</v>
      </c>
      <c r="K18" s="57">
        <v>151.5</v>
      </c>
      <c r="L18" s="58">
        <v>151.5</v>
      </c>
      <c r="M18" s="58">
        <v>151.5</v>
      </c>
      <c r="N18" s="59">
        <v>129.7</v>
      </c>
      <c r="O18" s="57">
        <v>129.7</v>
      </c>
      <c r="P18" s="58">
        <v>129.7</v>
      </c>
      <c r="Q18" s="58">
        <v>140.4</v>
      </c>
      <c r="R18" s="59">
        <v>118.2</v>
      </c>
      <c r="S18" s="57">
        <v>118.2</v>
      </c>
      <c r="T18" s="58">
        <v>118.2</v>
      </c>
      <c r="U18" s="58">
        <v>118.2</v>
      </c>
      <c r="V18" s="59">
        <v>118.7</v>
      </c>
      <c r="W18" s="58">
        <v>118.7</v>
      </c>
      <c r="X18" s="58">
        <v>118.7</v>
      </c>
      <c r="Y18" s="58">
        <v>118.7</v>
      </c>
      <c r="Z18" s="59">
        <v>120.9</v>
      </c>
      <c r="AA18" s="57">
        <v>120.9</v>
      </c>
      <c r="AB18" s="58">
        <v>120.9</v>
      </c>
      <c r="AC18" s="58">
        <v>120.9</v>
      </c>
      <c r="AD18" s="59">
        <v>121.4</v>
      </c>
      <c r="AE18" s="58">
        <v>121.4</v>
      </c>
      <c r="AF18" s="58">
        <v>121.6</v>
      </c>
      <c r="AG18" s="58">
        <v>59.6</v>
      </c>
    </row>
    <row r="19" spans="1:33" s="7" customFormat="1" ht="12.75" outlineLevel="1">
      <c r="A19" s="294" t="s">
        <v>221</v>
      </c>
      <c r="B19" s="292" t="s">
        <v>666</v>
      </c>
      <c r="C19" s="57">
        <v>565</v>
      </c>
      <c r="D19" s="58">
        <v>552.5</v>
      </c>
      <c r="E19" s="58">
        <v>543.1</v>
      </c>
      <c r="F19" s="58">
        <v>532.9</v>
      </c>
      <c r="G19" s="57">
        <v>536.4</v>
      </c>
      <c r="H19" s="58">
        <v>529.1</v>
      </c>
      <c r="I19" s="58">
        <v>527.6</v>
      </c>
      <c r="J19" s="59">
        <v>544.2</v>
      </c>
      <c r="K19" s="57">
        <v>548.6</v>
      </c>
      <c r="L19" s="58">
        <v>553.2</v>
      </c>
      <c r="M19" s="58">
        <v>541.3</v>
      </c>
      <c r="N19" s="59">
        <v>548.8</v>
      </c>
      <c r="O19" s="57">
        <v>539</v>
      </c>
      <c r="P19" s="58">
        <v>536.3</v>
      </c>
      <c r="Q19" s="58">
        <v>520.5</v>
      </c>
      <c r="R19" s="59">
        <v>544.2</v>
      </c>
      <c r="S19" s="57">
        <v>531.3</v>
      </c>
      <c r="T19" s="58">
        <v>511.2</v>
      </c>
      <c r="U19" s="58">
        <v>516.6</v>
      </c>
      <c r="V19" s="59">
        <v>575.3</v>
      </c>
      <c r="W19" s="58">
        <v>573.7000000000002</v>
      </c>
      <c r="X19" s="58">
        <v>579.5000000000001</v>
      </c>
      <c r="Y19" s="58">
        <v>583.4000000000001</v>
      </c>
      <c r="Z19" s="59">
        <v>600</v>
      </c>
      <c r="AA19" s="57">
        <v>573.3</v>
      </c>
      <c r="AB19" s="58">
        <v>554.1</v>
      </c>
      <c r="AC19" s="58">
        <v>544.3000000000001</v>
      </c>
      <c r="AD19" s="59">
        <v>576.5999999999999</v>
      </c>
      <c r="AE19" s="58">
        <v>569.9</v>
      </c>
      <c r="AF19" s="58">
        <v>583.9</v>
      </c>
      <c r="AG19" s="58">
        <v>635.1999999999999</v>
      </c>
    </row>
    <row r="20" spans="1:33" s="7" customFormat="1" ht="12.75" outlineLevel="1">
      <c r="A20" s="294" t="s">
        <v>222</v>
      </c>
      <c r="B20" s="292" t="s">
        <v>667</v>
      </c>
      <c r="C20" s="57">
        <v>325.7</v>
      </c>
      <c r="D20" s="58">
        <v>319.3</v>
      </c>
      <c r="E20" s="58">
        <v>319</v>
      </c>
      <c r="F20" s="58">
        <v>318.8</v>
      </c>
      <c r="G20" s="57">
        <v>315.8</v>
      </c>
      <c r="H20" s="58">
        <v>311</v>
      </c>
      <c r="I20" s="58">
        <v>309.5</v>
      </c>
      <c r="J20" s="59">
        <v>316.2</v>
      </c>
      <c r="K20" s="57">
        <v>313.5</v>
      </c>
      <c r="L20" s="58">
        <v>317.8</v>
      </c>
      <c r="M20" s="58">
        <v>316.4</v>
      </c>
      <c r="N20" s="59">
        <v>327.3</v>
      </c>
      <c r="O20" s="57">
        <v>322.9</v>
      </c>
      <c r="P20" s="58">
        <v>325.9</v>
      </c>
      <c r="Q20" s="58">
        <v>325.8</v>
      </c>
      <c r="R20" s="59">
        <v>342.2</v>
      </c>
      <c r="S20" s="57">
        <v>342</v>
      </c>
      <c r="T20" s="58">
        <v>357.8</v>
      </c>
      <c r="U20" s="58">
        <v>355.6</v>
      </c>
      <c r="V20" s="59">
        <v>362</v>
      </c>
      <c r="W20" s="58">
        <v>360.4</v>
      </c>
      <c r="X20" s="58">
        <v>358.8</v>
      </c>
      <c r="Y20" s="58">
        <v>361.1</v>
      </c>
      <c r="Z20" s="59">
        <v>361.59999999999997</v>
      </c>
      <c r="AA20" s="57">
        <v>353.6</v>
      </c>
      <c r="AB20" s="58">
        <v>353.1000000000001</v>
      </c>
      <c r="AC20" s="58">
        <v>352.0000000000001</v>
      </c>
      <c r="AD20" s="59">
        <v>365.90000000000003</v>
      </c>
      <c r="AE20" s="58">
        <v>358.90000000000003</v>
      </c>
      <c r="AF20" s="58">
        <v>358.50000000000006</v>
      </c>
      <c r="AG20" s="58">
        <v>360.8999999999999</v>
      </c>
    </row>
    <row r="21" spans="1:33" s="7" customFormat="1" ht="12.75" collapsed="1">
      <c r="A21" s="88" t="s">
        <v>223</v>
      </c>
      <c r="B21" s="88" t="s">
        <v>704</v>
      </c>
      <c r="C21" s="39">
        <v>0.2</v>
      </c>
      <c r="D21" s="40">
        <v>0.3</v>
      </c>
      <c r="E21" s="40">
        <v>0.2</v>
      </c>
      <c r="F21" s="40">
        <v>0.2</v>
      </c>
      <c r="G21" s="39">
        <v>0.3</v>
      </c>
      <c r="H21" s="40">
        <v>0.3</v>
      </c>
      <c r="I21" s="40">
        <v>0.2</v>
      </c>
      <c r="J21" s="41">
        <v>0.2</v>
      </c>
      <c r="K21" s="39">
        <v>0.2</v>
      </c>
      <c r="L21" s="40">
        <v>0.1</v>
      </c>
      <c r="M21" s="40">
        <v>0.2</v>
      </c>
      <c r="N21" s="41">
        <v>0.2</v>
      </c>
      <c r="O21" s="39">
        <v>0.2</v>
      </c>
      <c r="P21" s="40">
        <v>0.2</v>
      </c>
      <c r="Q21" s="40">
        <v>1.9</v>
      </c>
      <c r="R21" s="41">
        <v>14</v>
      </c>
      <c r="S21" s="39">
        <v>12.3</v>
      </c>
      <c r="T21" s="40">
        <v>40.9</v>
      </c>
      <c r="U21" s="40">
        <v>44.4</v>
      </c>
      <c r="V21" s="41">
        <v>33.6</v>
      </c>
      <c r="W21" s="40">
        <v>38.9</v>
      </c>
      <c r="X21" s="40">
        <v>37.3</v>
      </c>
      <c r="Y21" s="40">
        <v>33.8</v>
      </c>
      <c r="Z21" s="41">
        <v>33</v>
      </c>
      <c r="AA21" s="39">
        <v>44.3</v>
      </c>
      <c r="AB21" s="40">
        <v>49.6</v>
      </c>
      <c r="AC21" s="40">
        <v>49</v>
      </c>
      <c r="AD21" s="41">
        <v>35.3</v>
      </c>
      <c r="AE21" s="40">
        <v>32.2</v>
      </c>
      <c r="AF21" s="40">
        <v>134.3</v>
      </c>
      <c r="AG21" s="40">
        <v>151.8</v>
      </c>
    </row>
    <row r="22" spans="1:33" s="7" customFormat="1" ht="12.75">
      <c r="A22" s="88" t="s">
        <v>680</v>
      </c>
      <c r="B22" s="88" t="s">
        <v>669</v>
      </c>
      <c r="C22" s="39">
        <f aca="true" t="shared" si="3" ref="C22:AD22">SUM(C23:C24)</f>
        <v>22.1</v>
      </c>
      <c r="D22" s="40">
        <f t="shared" si="3"/>
        <v>99.5</v>
      </c>
      <c r="E22" s="40">
        <f t="shared" si="3"/>
        <v>40.7</v>
      </c>
      <c r="F22" s="40">
        <f t="shared" si="3"/>
        <v>74.6</v>
      </c>
      <c r="G22" s="39">
        <f t="shared" si="3"/>
        <v>47.5</v>
      </c>
      <c r="H22" s="40">
        <f t="shared" si="3"/>
        <v>88</v>
      </c>
      <c r="I22" s="40">
        <f t="shared" si="3"/>
        <v>19.1</v>
      </c>
      <c r="J22" s="41">
        <f t="shared" si="3"/>
        <v>48.800000000000004</v>
      </c>
      <c r="K22" s="39">
        <f t="shared" si="3"/>
        <v>55.5</v>
      </c>
      <c r="L22" s="40">
        <f t="shared" si="3"/>
        <v>82.9</v>
      </c>
      <c r="M22" s="40">
        <f t="shared" si="3"/>
        <v>34.3</v>
      </c>
      <c r="N22" s="41">
        <f t="shared" si="3"/>
        <v>87.2</v>
      </c>
      <c r="O22" s="39">
        <f t="shared" si="3"/>
        <v>62.8</v>
      </c>
      <c r="P22" s="40">
        <f t="shared" si="3"/>
        <v>97.7</v>
      </c>
      <c r="Q22" s="40">
        <f t="shared" si="3"/>
        <v>77.4</v>
      </c>
      <c r="R22" s="41">
        <f t="shared" si="3"/>
        <v>168</v>
      </c>
      <c r="S22" s="39">
        <f t="shared" si="3"/>
        <v>181.8</v>
      </c>
      <c r="T22" s="40">
        <f t="shared" si="3"/>
        <v>155.8</v>
      </c>
      <c r="U22" s="40">
        <f t="shared" si="3"/>
        <v>153.60000000000002</v>
      </c>
      <c r="V22" s="41">
        <f t="shared" si="3"/>
        <v>164</v>
      </c>
      <c r="W22" s="40">
        <f t="shared" si="3"/>
        <v>161</v>
      </c>
      <c r="X22" s="40">
        <f t="shared" si="3"/>
        <v>139.4</v>
      </c>
      <c r="Y22" s="40">
        <f t="shared" si="3"/>
        <v>45.199999999999996</v>
      </c>
      <c r="Z22" s="41">
        <f t="shared" si="3"/>
        <v>38.599999999999994</v>
      </c>
      <c r="AA22" s="39">
        <f t="shared" si="3"/>
        <v>56.1</v>
      </c>
      <c r="AB22" s="40">
        <f t="shared" si="3"/>
        <v>74.3</v>
      </c>
      <c r="AC22" s="40">
        <f t="shared" si="3"/>
        <v>103</v>
      </c>
      <c r="AD22" s="41">
        <f t="shared" si="3"/>
        <v>121.30000000000001</v>
      </c>
      <c r="AE22" s="40">
        <f>SUM(AE23:AE24)</f>
        <v>100.3</v>
      </c>
      <c r="AF22" s="40">
        <f>SUM(AF23:AF24)</f>
        <v>91.39999999999999</v>
      </c>
      <c r="AG22" s="40">
        <f>SUM(AG23:AG24)</f>
        <v>98.8</v>
      </c>
    </row>
    <row r="23" spans="1:33" s="7" customFormat="1" ht="12.75" outlineLevel="1">
      <c r="A23" s="294" t="s">
        <v>224</v>
      </c>
      <c r="B23" s="292" t="s">
        <v>670</v>
      </c>
      <c r="C23" s="57">
        <v>0</v>
      </c>
      <c r="D23" s="58">
        <v>0</v>
      </c>
      <c r="E23" s="58">
        <v>0</v>
      </c>
      <c r="F23" s="58">
        <v>25.3</v>
      </c>
      <c r="G23" s="57">
        <v>9.7</v>
      </c>
      <c r="H23" s="58">
        <v>0</v>
      </c>
      <c r="I23" s="58">
        <v>0</v>
      </c>
      <c r="J23" s="59">
        <v>0.1</v>
      </c>
      <c r="K23" s="57">
        <v>18.7</v>
      </c>
      <c r="L23" s="58">
        <v>82.9</v>
      </c>
      <c r="M23" s="58">
        <v>0</v>
      </c>
      <c r="N23" s="59">
        <v>0.8</v>
      </c>
      <c r="O23" s="57">
        <v>0.4</v>
      </c>
      <c r="P23" s="58">
        <v>0.3</v>
      </c>
      <c r="Q23" s="58">
        <v>0</v>
      </c>
      <c r="R23" s="59">
        <v>0.6</v>
      </c>
      <c r="S23" s="57">
        <v>37.9</v>
      </c>
      <c r="T23" s="58">
        <v>55.2</v>
      </c>
      <c r="U23" s="58">
        <v>56.2</v>
      </c>
      <c r="V23" s="59">
        <v>147.5</v>
      </c>
      <c r="W23" s="58">
        <v>91.3</v>
      </c>
      <c r="X23" s="58">
        <v>0.2</v>
      </c>
      <c r="Y23" s="58">
        <v>0</v>
      </c>
      <c r="Z23" s="59">
        <v>0.3</v>
      </c>
      <c r="AA23" s="57">
        <v>1</v>
      </c>
      <c r="AB23" s="58">
        <v>0.2</v>
      </c>
      <c r="AC23" s="58">
        <v>0.5</v>
      </c>
      <c r="AD23" s="59">
        <v>1.2999999999999998</v>
      </c>
      <c r="AE23" s="58">
        <v>9.8</v>
      </c>
      <c r="AF23" s="58">
        <v>29.099999999999998</v>
      </c>
      <c r="AG23" s="58">
        <v>37.7</v>
      </c>
    </row>
    <row r="24" spans="1:33" s="7" customFormat="1" ht="12.75" outlineLevel="1">
      <c r="A24" s="294" t="s">
        <v>225</v>
      </c>
      <c r="B24" s="292" t="s">
        <v>671</v>
      </c>
      <c r="C24" s="57">
        <v>22.1</v>
      </c>
      <c r="D24" s="58">
        <v>99.5</v>
      </c>
      <c r="E24" s="58">
        <v>40.7</v>
      </c>
      <c r="F24" s="58">
        <v>49.3</v>
      </c>
      <c r="G24" s="57">
        <v>37.8</v>
      </c>
      <c r="H24" s="58">
        <v>88</v>
      </c>
      <c r="I24" s="58">
        <v>19.1</v>
      </c>
      <c r="J24" s="59">
        <v>48.7</v>
      </c>
      <c r="K24" s="57">
        <v>36.8</v>
      </c>
      <c r="L24" s="58">
        <v>0</v>
      </c>
      <c r="M24" s="58">
        <v>34.3</v>
      </c>
      <c r="N24" s="59">
        <v>86.4</v>
      </c>
      <c r="O24" s="57">
        <v>62.4</v>
      </c>
      <c r="P24" s="58">
        <v>97.4</v>
      </c>
      <c r="Q24" s="58">
        <v>77.4</v>
      </c>
      <c r="R24" s="59">
        <v>167.4</v>
      </c>
      <c r="S24" s="57">
        <v>143.9</v>
      </c>
      <c r="T24" s="58">
        <v>100.6</v>
      </c>
      <c r="U24" s="58">
        <v>97.4</v>
      </c>
      <c r="V24" s="59">
        <v>16.5</v>
      </c>
      <c r="W24" s="58">
        <v>69.7</v>
      </c>
      <c r="X24" s="58">
        <v>139.20000000000002</v>
      </c>
      <c r="Y24" s="58">
        <v>45.199999999999996</v>
      </c>
      <c r="Z24" s="59">
        <v>38.3</v>
      </c>
      <c r="AA24" s="57">
        <v>55.1</v>
      </c>
      <c r="AB24" s="58">
        <v>74.1</v>
      </c>
      <c r="AC24" s="58">
        <v>102.5</v>
      </c>
      <c r="AD24" s="59">
        <v>120.00000000000001</v>
      </c>
      <c r="AE24" s="58">
        <v>90.5</v>
      </c>
      <c r="AF24" s="58">
        <v>62.3</v>
      </c>
      <c r="AG24" s="58">
        <v>61.099999999999994</v>
      </c>
    </row>
    <row r="25" spans="1:33" s="9" customFormat="1" ht="12.75">
      <c r="A25" s="88" t="s">
        <v>226</v>
      </c>
      <c r="B25" s="88" t="s">
        <v>22</v>
      </c>
      <c r="C25" s="39">
        <v>128.1</v>
      </c>
      <c r="D25" s="40">
        <v>154.8</v>
      </c>
      <c r="E25" s="40">
        <v>132.9</v>
      </c>
      <c r="F25" s="40">
        <v>137.4</v>
      </c>
      <c r="G25" s="39">
        <v>122.2</v>
      </c>
      <c r="H25" s="40">
        <v>129.9</v>
      </c>
      <c r="I25" s="40">
        <v>190.9</v>
      </c>
      <c r="J25" s="41">
        <v>166</v>
      </c>
      <c r="K25" s="39">
        <v>187.9</v>
      </c>
      <c r="L25" s="40">
        <v>193</v>
      </c>
      <c r="M25" s="40">
        <v>207.2</v>
      </c>
      <c r="N25" s="41">
        <v>150</v>
      </c>
      <c r="O25" s="39">
        <v>175.4</v>
      </c>
      <c r="P25" s="40">
        <v>175.6</v>
      </c>
      <c r="Q25" s="40">
        <v>214.1</v>
      </c>
      <c r="R25" s="41">
        <v>159.7</v>
      </c>
      <c r="S25" s="39">
        <v>224.5</v>
      </c>
      <c r="T25" s="40">
        <v>210.1</v>
      </c>
      <c r="U25" s="40">
        <v>216</v>
      </c>
      <c r="V25" s="41">
        <v>141.8</v>
      </c>
      <c r="W25" s="40">
        <v>177.60000000000002</v>
      </c>
      <c r="X25" s="40">
        <v>248.39999999999998</v>
      </c>
      <c r="Y25" s="40">
        <v>316</v>
      </c>
      <c r="Z25" s="41">
        <v>193.9</v>
      </c>
      <c r="AA25" s="39">
        <v>173.3</v>
      </c>
      <c r="AB25" s="40">
        <v>225.39999999999998</v>
      </c>
      <c r="AC25" s="40">
        <v>187.80000000000004</v>
      </c>
      <c r="AD25" s="41">
        <v>180.1</v>
      </c>
      <c r="AE25" s="40">
        <v>243</v>
      </c>
      <c r="AF25" s="40">
        <v>331.9</v>
      </c>
      <c r="AG25" s="40">
        <v>300.5</v>
      </c>
    </row>
    <row r="26" spans="1:33" s="13" customFormat="1" ht="12.75">
      <c r="A26" s="99" t="s">
        <v>227</v>
      </c>
      <c r="B26" s="99" t="s">
        <v>23</v>
      </c>
      <c r="C26" s="94">
        <f>SUM(C6:C10,C13:C17,C21:C22,C25)</f>
        <v>56616.899999999994</v>
      </c>
      <c r="D26" s="95">
        <f aca="true" t="shared" si="4" ref="D26:AF26">SUM(D6:D10,D13:D17,D21:D22,D25)</f>
        <v>53203.10000000001</v>
      </c>
      <c r="E26" s="95">
        <f t="shared" si="4"/>
        <v>53246.6</v>
      </c>
      <c r="F26" s="95">
        <f t="shared" si="4"/>
        <v>52010.799999999996</v>
      </c>
      <c r="G26" s="94">
        <f t="shared" si="4"/>
        <v>60234.4</v>
      </c>
      <c r="H26" s="95">
        <f t="shared" si="4"/>
        <v>60513.200000000004</v>
      </c>
      <c r="I26" s="95">
        <f t="shared" si="4"/>
        <v>65262.59999999999</v>
      </c>
      <c r="J26" s="95">
        <f t="shared" si="4"/>
        <v>69610.5</v>
      </c>
      <c r="K26" s="94">
        <f t="shared" si="4"/>
        <v>68205.79999999999</v>
      </c>
      <c r="L26" s="95">
        <f t="shared" si="4"/>
        <v>64516.49999999999</v>
      </c>
      <c r="M26" s="95">
        <f t="shared" si="4"/>
        <v>64256.399999999994</v>
      </c>
      <c r="N26" s="95">
        <f t="shared" si="4"/>
        <v>59883.399999999994</v>
      </c>
      <c r="O26" s="94">
        <f t="shared" si="4"/>
        <v>62099.1</v>
      </c>
      <c r="P26" s="95">
        <f t="shared" si="4"/>
        <v>61582.99999999999</v>
      </c>
      <c r="Q26" s="95">
        <f t="shared" si="4"/>
        <v>62165.5</v>
      </c>
      <c r="R26" s="95">
        <f t="shared" si="4"/>
        <v>64517.49999999999</v>
      </c>
      <c r="S26" s="94">
        <f t="shared" si="4"/>
        <v>65839.8</v>
      </c>
      <c r="T26" s="95">
        <f t="shared" si="4"/>
        <v>67500.90000000001</v>
      </c>
      <c r="U26" s="95">
        <f t="shared" si="4"/>
        <v>73696.09999999999</v>
      </c>
      <c r="V26" s="95">
        <f t="shared" si="4"/>
        <v>69723.40000000001</v>
      </c>
      <c r="W26" s="94">
        <f t="shared" si="4"/>
        <v>72263.1</v>
      </c>
      <c r="X26" s="95">
        <f t="shared" si="4"/>
        <v>70260.09999999999</v>
      </c>
      <c r="Y26" s="95">
        <f t="shared" si="4"/>
        <v>73637.8</v>
      </c>
      <c r="Z26" s="96">
        <f t="shared" si="4"/>
        <v>78266.79999999999</v>
      </c>
      <c r="AA26" s="94">
        <f t="shared" si="4"/>
        <v>77753.80000000003</v>
      </c>
      <c r="AB26" s="95">
        <f t="shared" si="4"/>
        <v>81790.60000000002</v>
      </c>
      <c r="AC26" s="95">
        <f t="shared" si="4"/>
        <v>84639.49999999999</v>
      </c>
      <c r="AD26" s="96">
        <f t="shared" si="4"/>
        <v>86752.00000000001</v>
      </c>
      <c r="AE26" s="95">
        <f t="shared" si="4"/>
        <v>92244.69999999998</v>
      </c>
      <c r="AF26" s="95">
        <f t="shared" si="4"/>
        <v>98261.79999999997</v>
      </c>
      <c r="AG26" s="95">
        <f>SUM(AG6:AG10,AG13:AG17,AG21:AG22,AG25)</f>
        <v>96848.5</v>
      </c>
    </row>
    <row r="27" spans="1:33" ht="6.75" customHeight="1">
      <c r="A27" s="88"/>
      <c r="B27" s="88"/>
      <c r="C27" s="39"/>
      <c r="D27" s="40"/>
      <c r="E27" s="40"/>
      <c r="F27" s="40"/>
      <c r="G27" s="39"/>
      <c r="H27" s="40"/>
      <c r="I27" s="40"/>
      <c r="J27" s="41"/>
      <c r="K27" s="39"/>
      <c r="L27" s="40"/>
      <c r="M27" s="40"/>
      <c r="N27" s="41"/>
      <c r="O27" s="39"/>
      <c r="P27" s="40"/>
      <c r="Q27" s="40"/>
      <c r="R27" s="41"/>
      <c r="S27" s="39"/>
      <c r="T27" s="40"/>
      <c r="U27" s="40"/>
      <c r="V27" s="41"/>
      <c r="W27" s="40"/>
      <c r="X27" s="40"/>
      <c r="Y27" s="40"/>
      <c r="Z27" s="41"/>
      <c r="AA27" s="39"/>
      <c r="AB27" s="40"/>
      <c r="AC27" s="40"/>
      <c r="AD27" s="41"/>
      <c r="AE27" s="40"/>
      <c r="AF27" s="40"/>
      <c r="AG27" s="40"/>
    </row>
    <row r="28" spans="1:33" ht="12.75">
      <c r="A28" s="113" t="s">
        <v>229</v>
      </c>
      <c r="B28" s="113" t="s">
        <v>24</v>
      </c>
      <c r="C28" s="39"/>
      <c r="D28" s="40"/>
      <c r="E28" s="40"/>
      <c r="F28" s="40"/>
      <c r="G28" s="39"/>
      <c r="H28" s="40"/>
      <c r="I28" s="40"/>
      <c r="J28" s="41"/>
      <c r="K28" s="39"/>
      <c r="L28" s="40"/>
      <c r="M28" s="40"/>
      <c r="N28" s="41"/>
      <c r="O28" s="39"/>
      <c r="P28" s="40"/>
      <c r="Q28" s="40"/>
      <c r="R28" s="41"/>
      <c r="S28" s="39"/>
      <c r="T28" s="40"/>
      <c r="U28" s="40"/>
      <c r="V28" s="41"/>
      <c r="W28" s="40"/>
      <c r="X28" s="40"/>
      <c r="Y28" s="40"/>
      <c r="Z28" s="41"/>
      <c r="AA28" s="39"/>
      <c r="AB28" s="40"/>
      <c r="AC28" s="40"/>
      <c r="AD28" s="41"/>
      <c r="AE28" s="40"/>
      <c r="AF28" s="40"/>
      <c r="AG28" s="40"/>
    </row>
    <row r="29" spans="1:33" ht="12.75">
      <c r="A29" s="113" t="s">
        <v>230</v>
      </c>
      <c r="B29" s="113" t="s">
        <v>25</v>
      </c>
      <c r="C29" s="39"/>
      <c r="D29" s="40"/>
      <c r="E29" s="40"/>
      <c r="F29" s="40"/>
      <c r="G29" s="39"/>
      <c r="H29" s="40"/>
      <c r="I29" s="40"/>
      <c r="J29" s="41"/>
      <c r="K29" s="39"/>
      <c r="L29" s="40"/>
      <c r="M29" s="40"/>
      <c r="N29" s="41"/>
      <c r="O29" s="39"/>
      <c r="P29" s="40"/>
      <c r="Q29" s="40"/>
      <c r="R29" s="41"/>
      <c r="S29" s="39"/>
      <c r="T29" s="40"/>
      <c r="U29" s="40"/>
      <c r="V29" s="41"/>
      <c r="W29" s="40"/>
      <c r="X29" s="40"/>
      <c r="Y29" s="40"/>
      <c r="Z29" s="41"/>
      <c r="AA29" s="39"/>
      <c r="AB29" s="40"/>
      <c r="AC29" s="40"/>
      <c r="AD29" s="41"/>
      <c r="AE29" s="40"/>
      <c r="AF29" s="40"/>
      <c r="AG29" s="40"/>
    </row>
    <row r="30" spans="1:33" ht="12.75">
      <c r="A30" s="114" t="s">
        <v>487</v>
      </c>
      <c r="B30" s="114" t="s">
        <v>438</v>
      </c>
      <c r="C30" s="39">
        <v>0</v>
      </c>
      <c r="D30" s="40">
        <v>0</v>
      </c>
      <c r="E30" s="40">
        <v>0</v>
      </c>
      <c r="F30" s="40">
        <v>0</v>
      </c>
      <c r="G30" s="39">
        <v>0</v>
      </c>
      <c r="H30" s="40">
        <v>0</v>
      </c>
      <c r="I30" s="40">
        <v>0</v>
      </c>
      <c r="J30" s="41">
        <v>5932.1</v>
      </c>
      <c r="K30" s="39">
        <v>4020.1</v>
      </c>
      <c r="L30" s="40">
        <v>0</v>
      </c>
      <c r="M30" s="40">
        <v>0</v>
      </c>
      <c r="N30" s="41">
        <v>0</v>
      </c>
      <c r="O30" s="39">
        <v>0</v>
      </c>
      <c r="P30" s="40">
        <v>0</v>
      </c>
      <c r="Q30" s="40">
        <v>0</v>
      </c>
      <c r="R30" s="41">
        <v>0</v>
      </c>
      <c r="S30" s="39">
        <v>0</v>
      </c>
      <c r="T30" s="40">
        <v>0</v>
      </c>
      <c r="U30" s="40">
        <v>0</v>
      </c>
      <c r="V30" s="41">
        <v>0</v>
      </c>
      <c r="W30" s="40">
        <v>0</v>
      </c>
      <c r="X30" s="40">
        <v>0</v>
      </c>
      <c r="Y30" s="40">
        <v>0</v>
      </c>
      <c r="Z30" s="41">
        <v>0</v>
      </c>
      <c r="AA30" s="39">
        <v>0</v>
      </c>
      <c r="AB30" s="40">
        <v>0</v>
      </c>
      <c r="AC30" s="40">
        <v>0</v>
      </c>
      <c r="AD30" s="41">
        <v>0</v>
      </c>
      <c r="AE30" s="40">
        <v>0</v>
      </c>
      <c r="AF30" s="40">
        <v>0</v>
      </c>
      <c r="AG30" s="40">
        <v>0</v>
      </c>
    </row>
    <row r="31" spans="1:33" ht="12.75">
      <c r="A31" s="114" t="s">
        <v>231</v>
      </c>
      <c r="B31" s="114" t="s">
        <v>26</v>
      </c>
      <c r="C31" s="39">
        <v>5598.6</v>
      </c>
      <c r="D31" s="40">
        <v>3868.4</v>
      </c>
      <c r="E31" s="40">
        <v>5592.2</v>
      </c>
      <c r="F31" s="40">
        <v>1810.2</v>
      </c>
      <c r="G31" s="39">
        <v>5259.6</v>
      </c>
      <c r="H31" s="40">
        <v>6085.2</v>
      </c>
      <c r="I31" s="40">
        <v>5188</v>
      </c>
      <c r="J31" s="41">
        <v>6060.9</v>
      </c>
      <c r="K31" s="39">
        <v>8194.7</v>
      </c>
      <c r="L31" s="40">
        <v>9730.8</v>
      </c>
      <c r="M31" s="40">
        <v>6395.1</v>
      </c>
      <c r="N31" s="41">
        <v>3973.8</v>
      </c>
      <c r="O31" s="39">
        <v>5372.2</v>
      </c>
      <c r="P31" s="40">
        <v>5190.2</v>
      </c>
      <c r="Q31" s="40">
        <v>3149.3</v>
      </c>
      <c r="R31" s="41">
        <v>4039.1</v>
      </c>
      <c r="S31" s="39">
        <v>10435.1</v>
      </c>
      <c r="T31" s="40">
        <v>8938.1</v>
      </c>
      <c r="U31" s="40">
        <v>7597.099999999999</v>
      </c>
      <c r="V31" s="41">
        <v>4961.9</v>
      </c>
      <c r="W31" s="40">
        <v>5407</v>
      </c>
      <c r="X31" s="40">
        <v>4108.300000000001</v>
      </c>
      <c r="Y31" s="40">
        <v>4961.7</v>
      </c>
      <c r="Z31" s="41">
        <v>4554.599999999999</v>
      </c>
      <c r="AA31" s="39">
        <v>4850.400000000001</v>
      </c>
      <c r="AB31" s="40">
        <v>4411.5</v>
      </c>
      <c r="AC31" s="40">
        <v>4719.400000000001</v>
      </c>
      <c r="AD31" s="41">
        <v>4827.299999999999</v>
      </c>
      <c r="AE31" s="40">
        <v>10666.5</v>
      </c>
      <c r="AF31" s="40">
        <v>11963.300000000001</v>
      </c>
      <c r="AG31" s="40">
        <v>7255.199999999999</v>
      </c>
    </row>
    <row r="32" spans="1:33" ht="12.75">
      <c r="A32" s="114" t="s">
        <v>232</v>
      </c>
      <c r="B32" s="114" t="s">
        <v>27</v>
      </c>
      <c r="C32" s="39">
        <v>4602.1</v>
      </c>
      <c r="D32" s="40">
        <v>3530.4</v>
      </c>
      <c r="E32" s="40">
        <v>1303.1</v>
      </c>
      <c r="F32" s="40">
        <v>157.7</v>
      </c>
      <c r="G32" s="39">
        <v>3313.1</v>
      </c>
      <c r="H32" s="40">
        <v>129.8</v>
      </c>
      <c r="I32" s="40">
        <v>1758.7</v>
      </c>
      <c r="J32" s="41">
        <v>825.1</v>
      </c>
      <c r="K32" s="39">
        <v>336</v>
      </c>
      <c r="L32" s="40">
        <v>981.4</v>
      </c>
      <c r="M32" s="40">
        <v>3701</v>
      </c>
      <c r="N32" s="41">
        <v>998.1</v>
      </c>
      <c r="O32" s="39">
        <v>2649.2</v>
      </c>
      <c r="P32" s="40">
        <v>2123.5</v>
      </c>
      <c r="Q32" s="40">
        <v>2580.4</v>
      </c>
      <c r="R32" s="41">
        <v>4681.4</v>
      </c>
      <c r="S32" s="39">
        <v>561.6</v>
      </c>
      <c r="T32" s="40">
        <v>1643.6</v>
      </c>
      <c r="U32" s="40">
        <v>5370.3</v>
      </c>
      <c r="V32" s="41">
        <v>1814.7</v>
      </c>
      <c r="W32" s="40">
        <v>4395</v>
      </c>
      <c r="X32" s="40">
        <v>1679</v>
      </c>
      <c r="Y32" s="40">
        <v>2758.7</v>
      </c>
      <c r="Z32" s="41">
        <v>3003.4</v>
      </c>
      <c r="AA32" s="39">
        <v>2123.3</v>
      </c>
      <c r="AB32" s="40">
        <v>902.8</v>
      </c>
      <c r="AC32" s="40">
        <v>693.7</v>
      </c>
      <c r="AD32" s="41">
        <v>1234.2</v>
      </c>
      <c r="AE32" s="40">
        <v>1453.8999999999999</v>
      </c>
      <c r="AF32" s="40">
        <v>1528.1</v>
      </c>
      <c r="AG32" s="40">
        <v>2145.4</v>
      </c>
    </row>
    <row r="33" spans="1:33" ht="12.75">
      <c r="A33" s="114" t="s">
        <v>213</v>
      </c>
      <c r="B33" s="114" t="s">
        <v>17</v>
      </c>
      <c r="C33" s="39">
        <v>788.7</v>
      </c>
      <c r="D33" s="40">
        <v>814</v>
      </c>
      <c r="E33" s="40">
        <v>886.7</v>
      </c>
      <c r="F33" s="40">
        <v>1057.3</v>
      </c>
      <c r="G33" s="39">
        <v>1252.5</v>
      </c>
      <c r="H33" s="40">
        <v>1507.9</v>
      </c>
      <c r="I33" s="40">
        <v>1512.4</v>
      </c>
      <c r="J33" s="41">
        <v>4321.6</v>
      </c>
      <c r="K33" s="39">
        <v>3242.1</v>
      </c>
      <c r="L33" s="40">
        <v>2103.1</v>
      </c>
      <c r="M33" s="40">
        <v>1341</v>
      </c>
      <c r="N33" s="41">
        <v>1193.9</v>
      </c>
      <c r="O33" s="39">
        <v>1109.7</v>
      </c>
      <c r="P33" s="40">
        <v>1215.3</v>
      </c>
      <c r="Q33" s="40">
        <v>1202.2</v>
      </c>
      <c r="R33" s="41">
        <v>1292.7</v>
      </c>
      <c r="S33" s="39">
        <v>868.9</v>
      </c>
      <c r="T33" s="40">
        <v>938.9</v>
      </c>
      <c r="U33" s="40">
        <v>1865.7</v>
      </c>
      <c r="V33" s="41">
        <v>1694.1</v>
      </c>
      <c r="W33" s="40">
        <v>1226.3</v>
      </c>
      <c r="X33" s="40">
        <v>1287.4</v>
      </c>
      <c r="Y33" s="40">
        <v>1499.9</v>
      </c>
      <c r="Z33" s="41">
        <v>1778.1</v>
      </c>
      <c r="AA33" s="39">
        <v>1665.5</v>
      </c>
      <c r="AB33" s="40">
        <v>1606.6999999999998</v>
      </c>
      <c r="AC33" s="40">
        <v>1372.5000000000002</v>
      </c>
      <c r="AD33" s="41">
        <v>1493</v>
      </c>
      <c r="AE33" s="40">
        <v>1372.3</v>
      </c>
      <c r="AF33" s="40">
        <v>1527.1</v>
      </c>
      <c r="AG33" s="40">
        <v>2091</v>
      </c>
    </row>
    <row r="34" spans="1:33" ht="12.75">
      <c r="A34" s="104" t="s">
        <v>217</v>
      </c>
      <c r="B34" s="104" t="s">
        <v>20</v>
      </c>
      <c r="C34" s="39">
        <v>0</v>
      </c>
      <c r="D34" s="40">
        <v>0</v>
      </c>
      <c r="E34" s="40">
        <v>0</v>
      </c>
      <c r="F34" s="40">
        <v>0</v>
      </c>
      <c r="G34" s="39">
        <v>10.1</v>
      </c>
      <c r="H34" s="40">
        <v>24.5</v>
      </c>
      <c r="I34" s="40">
        <v>110.8</v>
      </c>
      <c r="J34" s="41">
        <v>420</v>
      </c>
      <c r="K34" s="39">
        <v>610.9</v>
      </c>
      <c r="L34" s="40">
        <v>382.1</v>
      </c>
      <c r="M34" s="40">
        <v>493.7</v>
      </c>
      <c r="N34" s="41">
        <v>482.6</v>
      </c>
      <c r="O34" s="39">
        <v>557</v>
      </c>
      <c r="P34" s="40">
        <v>663.3</v>
      </c>
      <c r="Q34" s="40">
        <v>776</v>
      </c>
      <c r="R34" s="41">
        <v>600.4</v>
      </c>
      <c r="S34" s="39">
        <v>421.1</v>
      </c>
      <c r="T34" s="40">
        <v>427.5</v>
      </c>
      <c r="U34" s="40">
        <v>813.1</v>
      </c>
      <c r="V34" s="41">
        <v>900.6</v>
      </c>
      <c r="W34" s="40">
        <v>851.5</v>
      </c>
      <c r="X34" s="40">
        <v>871.7</v>
      </c>
      <c r="Y34" s="40">
        <v>1069</v>
      </c>
      <c r="Z34" s="41">
        <v>1364</v>
      </c>
      <c r="AA34" s="39">
        <v>1267.9</v>
      </c>
      <c r="AB34" s="40">
        <v>1082.3</v>
      </c>
      <c r="AC34" s="40">
        <v>1084.2</v>
      </c>
      <c r="AD34" s="41">
        <v>1114.4</v>
      </c>
      <c r="AE34" s="40">
        <v>1122.3</v>
      </c>
      <c r="AF34" s="40">
        <v>1251.7</v>
      </c>
      <c r="AG34" s="40">
        <v>1637.8</v>
      </c>
    </row>
    <row r="35" spans="1:33" ht="12.75">
      <c r="A35" s="104" t="s">
        <v>233</v>
      </c>
      <c r="B35" s="104" t="s">
        <v>28</v>
      </c>
      <c r="C35" s="39">
        <v>38384.5</v>
      </c>
      <c r="D35" s="40">
        <v>38261.700000000004</v>
      </c>
      <c r="E35" s="40">
        <v>39595.299999999996</v>
      </c>
      <c r="F35" s="40">
        <v>43646.5</v>
      </c>
      <c r="G35" s="39">
        <v>44644.200000000004</v>
      </c>
      <c r="H35" s="40">
        <v>47385.2</v>
      </c>
      <c r="I35" s="40">
        <v>50969.9</v>
      </c>
      <c r="J35" s="41">
        <v>46864.9</v>
      </c>
      <c r="K35" s="39">
        <v>46223.200000000004</v>
      </c>
      <c r="L35" s="40">
        <v>45533.1</v>
      </c>
      <c r="M35" s="40">
        <v>46465.8</v>
      </c>
      <c r="N35" s="41">
        <v>47273.1</v>
      </c>
      <c r="O35" s="39">
        <v>45694.5</v>
      </c>
      <c r="P35" s="40">
        <v>45822.899999999994</v>
      </c>
      <c r="Q35" s="40">
        <v>47667.9</v>
      </c>
      <c r="R35" s="41">
        <v>47400.1</v>
      </c>
      <c r="S35" s="39">
        <v>46339.2</v>
      </c>
      <c r="T35" s="40">
        <v>48187</v>
      </c>
      <c r="U35" s="40">
        <v>50696.7</v>
      </c>
      <c r="V35" s="41">
        <v>52815.99999999999</v>
      </c>
      <c r="W35" s="40">
        <v>52395.899999999994</v>
      </c>
      <c r="X35" s="40">
        <v>54153.40000000001</v>
      </c>
      <c r="Y35" s="40">
        <v>54862.7</v>
      </c>
      <c r="Z35" s="41">
        <v>57857.5</v>
      </c>
      <c r="AA35" s="39">
        <v>58049.7</v>
      </c>
      <c r="AB35" s="40">
        <v>61948.700000000004</v>
      </c>
      <c r="AC35" s="40">
        <v>66191.70000000001</v>
      </c>
      <c r="AD35" s="41">
        <v>67330.4</v>
      </c>
      <c r="AE35" s="40">
        <v>66901.90000000001</v>
      </c>
      <c r="AF35" s="40">
        <v>69585.4</v>
      </c>
      <c r="AG35" s="40">
        <v>71486.6</v>
      </c>
    </row>
    <row r="36" spans="1:33" ht="12.75">
      <c r="A36" s="104" t="s">
        <v>582</v>
      </c>
      <c r="B36" s="104" t="s">
        <v>566</v>
      </c>
      <c r="C36" s="39">
        <v>2390.1</v>
      </c>
      <c r="D36" s="40">
        <v>1991.7</v>
      </c>
      <c r="E36" s="40">
        <v>1062.8</v>
      </c>
      <c r="F36" s="40">
        <v>855.3</v>
      </c>
      <c r="G36" s="39">
        <v>667.5999999999999</v>
      </c>
      <c r="H36" s="40">
        <v>205.8</v>
      </c>
      <c r="I36" s="40">
        <v>299.1</v>
      </c>
      <c r="J36" s="41">
        <v>202</v>
      </c>
      <c r="K36" s="39">
        <v>238.6</v>
      </c>
      <c r="L36" s="40">
        <v>199.3</v>
      </c>
      <c r="M36" s="40">
        <v>15</v>
      </c>
      <c r="N36" s="41">
        <v>311.6</v>
      </c>
      <c r="O36" s="39">
        <v>489.7</v>
      </c>
      <c r="P36" s="40">
        <v>131.3</v>
      </c>
      <c r="Q36" s="40">
        <v>0</v>
      </c>
      <c r="R36" s="41">
        <v>0</v>
      </c>
      <c r="S36" s="39">
        <v>122.8</v>
      </c>
      <c r="T36" s="40">
        <v>99.1</v>
      </c>
      <c r="U36" s="40">
        <v>62</v>
      </c>
      <c r="V36" s="41">
        <v>116.1</v>
      </c>
      <c r="W36" s="40">
        <v>44</v>
      </c>
      <c r="X36" s="40">
        <v>3.6</v>
      </c>
      <c r="Y36" s="40">
        <v>4.5</v>
      </c>
      <c r="Z36" s="41">
        <v>0</v>
      </c>
      <c r="AA36" s="39">
        <v>0</v>
      </c>
      <c r="AB36" s="40">
        <v>1938.5</v>
      </c>
      <c r="AC36" s="40">
        <v>513.5</v>
      </c>
      <c r="AD36" s="41">
        <v>433.5</v>
      </c>
      <c r="AE36" s="40">
        <v>10.4</v>
      </c>
      <c r="AF36" s="40">
        <v>1286.1</v>
      </c>
      <c r="AG36" s="40">
        <v>281.1</v>
      </c>
    </row>
    <row r="37" spans="1:33" ht="12.75">
      <c r="A37" s="104" t="s">
        <v>546</v>
      </c>
      <c r="B37" s="104" t="s">
        <v>545</v>
      </c>
      <c r="C37" s="39">
        <v>0</v>
      </c>
      <c r="D37" s="40">
        <v>0</v>
      </c>
      <c r="E37" s="40">
        <v>0</v>
      </c>
      <c r="F37" s="40">
        <v>0</v>
      </c>
      <c r="G37" s="39">
        <v>0</v>
      </c>
      <c r="H37" s="40">
        <v>0</v>
      </c>
      <c r="I37" s="40">
        <v>0</v>
      </c>
      <c r="J37" s="41">
        <v>0</v>
      </c>
      <c r="K37" s="39">
        <v>0</v>
      </c>
      <c r="L37" s="40">
        <v>0</v>
      </c>
      <c r="M37" s="40">
        <v>0</v>
      </c>
      <c r="N37" s="41">
        <v>0</v>
      </c>
      <c r="O37" s="39">
        <v>0</v>
      </c>
      <c r="P37" s="40">
        <v>0</v>
      </c>
      <c r="Q37" s="40">
        <v>0</v>
      </c>
      <c r="R37" s="41">
        <v>0</v>
      </c>
      <c r="S37" s="39">
        <v>0</v>
      </c>
      <c r="T37" s="40">
        <v>0</v>
      </c>
      <c r="U37" s="40">
        <v>0</v>
      </c>
      <c r="V37" s="41">
        <v>0</v>
      </c>
      <c r="W37" s="40">
        <v>0</v>
      </c>
      <c r="X37" s="40">
        <v>0</v>
      </c>
      <c r="Y37" s="40">
        <v>0</v>
      </c>
      <c r="Z37" s="41">
        <v>567.1</v>
      </c>
      <c r="AA37" s="39">
        <v>574.5</v>
      </c>
      <c r="AB37" s="40">
        <v>566.4</v>
      </c>
      <c r="AC37" s="40">
        <v>571.5</v>
      </c>
      <c r="AD37" s="41">
        <v>566.4</v>
      </c>
      <c r="AE37" s="40">
        <v>571.4</v>
      </c>
      <c r="AF37" s="40">
        <v>566.4</v>
      </c>
      <c r="AG37" s="40">
        <v>571.6</v>
      </c>
    </row>
    <row r="38" spans="1:33" ht="12.75">
      <c r="A38" s="104" t="s">
        <v>234</v>
      </c>
      <c r="B38" s="104" t="s">
        <v>29</v>
      </c>
      <c r="C38" s="39">
        <v>82</v>
      </c>
      <c r="D38" s="40">
        <v>83</v>
      </c>
      <c r="E38" s="40">
        <v>75.9</v>
      </c>
      <c r="F38" s="40">
        <v>72.5</v>
      </c>
      <c r="G38" s="39">
        <v>69.3</v>
      </c>
      <c r="H38" s="40">
        <v>55.6</v>
      </c>
      <c r="I38" s="40">
        <v>62.7</v>
      </c>
      <c r="J38" s="41">
        <v>50.6</v>
      </c>
      <c r="K38" s="39">
        <v>57.3</v>
      </c>
      <c r="L38" s="40">
        <v>49</v>
      </c>
      <c r="M38" s="40">
        <v>49.7</v>
      </c>
      <c r="N38" s="41">
        <v>55.2</v>
      </c>
      <c r="O38" s="39">
        <v>48.3</v>
      </c>
      <c r="P38" s="40">
        <v>46.5</v>
      </c>
      <c r="Q38" s="40">
        <v>49.8</v>
      </c>
      <c r="R38" s="41">
        <v>55.8</v>
      </c>
      <c r="S38" s="39">
        <v>54</v>
      </c>
      <c r="T38" s="40">
        <v>66.9</v>
      </c>
      <c r="U38" s="40">
        <v>52.8</v>
      </c>
      <c r="V38" s="41">
        <v>58.1</v>
      </c>
      <c r="W38" s="40">
        <v>64.6</v>
      </c>
      <c r="X38" s="40">
        <v>64.2</v>
      </c>
      <c r="Y38" s="40">
        <v>65.4</v>
      </c>
      <c r="Z38" s="41">
        <v>72.8</v>
      </c>
      <c r="AA38" s="39">
        <v>73.89999999999999</v>
      </c>
      <c r="AB38" s="40">
        <v>77.60000000000001</v>
      </c>
      <c r="AC38" s="40">
        <v>67.3</v>
      </c>
      <c r="AD38" s="41">
        <v>67.79999999999998</v>
      </c>
      <c r="AE38" s="40">
        <v>68.9</v>
      </c>
      <c r="AF38" s="40">
        <v>71.1</v>
      </c>
      <c r="AG38" s="40">
        <v>71.69999999999999</v>
      </c>
    </row>
    <row r="39" spans="1:33" s="4" customFormat="1" ht="12.75">
      <c r="A39" s="103" t="s">
        <v>681</v>
      </c>
      <c r="B39" s="103" t="s">
        <v>672</v>
      </c>
      <c r="C39" s="39">
        <f aca="true" t="shared" si="5" ref="C39:AD39">SUM(C40:C41)</f>
        <v>66.3</v>
      </c>
      <c r="D39" s="40">
        <f t="shared" si="5"/>
        <v>51</v>
      </c>
      <c r="E39" s="40">
        <f t="shared" si="5"/>
        <v>4.6</v>
      </c>
      <c r="F39" s="40">
        <f t="shared" si="5"/>
        <v>0.1</v>
      </c>
      <c r="G39" s="39">
        <f t="shared" si="5"/>
        <v>0.2</v>
      </c>
      <c r="H39" s="40">
        <f t="shared" si="5"/>
        <v>53.6</v>
      </c>
      <c r="I39" s="40">
        <f t="shared" si="5"/>
        <v>46.6</v>
      </c>
      <c r="J39" s="41">
        <f t="shared" si="5"/>
        <v>39.1</v>
      </c>
      <c r="K39" s="39">
        <f t="shared" si="5"/>
        <v>0</v>
      </c>
      <c r="L39" s="40">
        <f t="shared" si="5"/>
        <v>55.7</v>
      </c>
      <c r="M39" s="40">
        <f t="shared" si="5"/>
        <v>101.1</v>
      </c>
      <c r="N39" s="41">
        <f t="shared" si="5"/>
        <v>156.1</v>
      </c>
      <c r="O39" s="39">
        <f t="shared" si="5"/>
        <v>19.8</v>
      </c>
      <c r="P39" s="40">
        <f t="shared" si="5"/>
        <v>55.4</v>
      </c>
      <c r="Q39" s="40">
        <f t="shared" si="5"/>
        <v>60.5</v>
      </c>
      <c r="R39" s="41">
        <f t="shared" si="5"/>
        <v>138.5</v>
      </c>
      <c r="S39" s="39">
        <f t="shared" si="5"/>
        <v>0</v>
      </c>
      <c r="T39" s="40">
        <f t="shared" si="5"/>
        <v>0.6</v>
      </c>
      <c r="U39" s="40">
        <f t="shared" si="5"/>
        <v>0.4</v>
      </c>
      <c r="V39" s="41">
        <f t="shared" si="5"/>
        <v>0</v>
      </c>
      <c r="W39" s="40">
        <f t="shared" si="5"/>
        <v>3.7</v>
      </c>
      <c r="X39" s="40">
        <f t="shared" si="5"/>
        <v>27.000000000000004</v>
      </c>
      <c r="Y39" s="40">
        <f t="shared" si="5"/>
        <v>14.999999999999998</v>
      </c>
      <c r="Z39" s="41">
        <f t="shared" si="5"/>
        <v>103</v>
      </c>
      <c r="AA39" s="39">
        <f t="shared" si="5"/>
        <v>97.69999999999999</v>
      </c>
      <c r="AB39" s="40">
        <f t="shared" si="5"/>
        <v>20.000000000000007</v>
      </c>
      <c r="AC39" s="40">
        <f t="shared" si="5"/>
        <v>42.2</v>
      </c>
      <c r="AD39" s="41">
        <f t="shared" si="5"/>
        <v>113.1</v>
      </c>
      <c r="AE39" s="40">
        <f>SUM(AE40:AE41)</f>
        <v>3.7</v>
      </c>
      <c r="AF39" s="40">
        <f>SUM(AF40:AF41)</f>
        <v>144</v>
      </c>
      <c r="AG39" s="40">
        <f>SUM(AG40:AG41)</f>
        <v>254.5</v>
      </c>
    </row>
    <row r="40" spans="1:33" s="118" customFormat="1" ht="12.75" outlineLevel="1">
      <c r="A40" s="294" t="s">
        <v>235</v>
      </c>
      <c r="B40" s="291" t="s">
        <v>673</v>
      </c>
      <c r="C40" s="57">
        <v>66.3</v>
      </c>
      <c r="D40" s="58">
        <v>51</v>
      </c>
      <c r="E40" s="58">
        <v>4.6</v>
      </c>
      <c r="F40" s="58">
        <v>0.1</v>
      </c>
      <c r="G40" s="57">
        <v>0.2</v>
      </c>
      <c r="H40" s="58">
        <v>53.6</v>
      </c>
      <c r="I40" s="58">
        <v>46.6</v>
      </c>
      <c r="J40" s="59">
        <v>39.1</v>
      </c>
      <c r="K40" s="57">
        <v>0</v>
      </c>
      <c r="L40" s="58">
        <v>0.1</v>
      </c>
      <c r="M40" s="58">
        <v>101.1</v>
      </c>
      <c r="N40" s="59">
        <v>156.1</v>
      </c>
      <c r="O40" s="57">
        <v>19.8</v>
      </c>
      <c r="P40" s="58">
        <v>55.4</v>
      </c>
      <c r="Q40" s="58">
        <v>60.5</v>
      </c>
      <c r="R40" s="59">
        <v>138.5</v>
      </c>
      <c r="S40" s="57">
        <v>0</v>
      </c>
      <c r="T40" s="58">
        <v>0.6</v>
      </c>
      <c r="U40" s="58">
        <v>0.4</v>
      </c>
      <c r="V40" s="59">
        <v>0</v>
      </c>
      <c r="W40" s="58">
        <v>2.2</v>
      </c>
      <c r="X40" s="58">
        <v>25.200000000000003</v>
      </c>
      <c r="Y40" s="58">
        <v>12.699999999999998</v>
      </c>
      <c r="Z40" s="59">
        <v>74</v>
      </c>
      <c r="AA40" s="57">
        <v>95.19999999999999</v>
      </c>
      <c r="AB40" s="58">
        <v>17.400000000000006</v>
      </c>
      <c r="AC40" s="58">
        <v>39.5</v>
      </c>
      <c r="AD40" s="59">
        <v>110.8</v>
      </c>
      <c r="AE40" s="58">
        <v>1.2</v>
      </c>
      <c r="AF40" s="58">
        <v>5.1000000000000005</v>
      </c>
      <c r="AG40" s="58">
        <v>0.5</v>
      </c>
    </row>
    <row r="41" spans="1:33" s="118" customFormat="1" ht="12.75" outlineLevel="1">
      <c r="A41" s="294" t="s">
        <v>236</v>
      </c>
      <c r="B41" s="291" t="s">
        <v>674</v>
      </c>
      <c r="C41" s="57">
        <v>0</v>
      </c>
      <c r="D41" s="58">
        <v>0</v>
      </c>
      <c r="E41" s="58">
        <v>0</v>
      </c>
      <c r="F41" s="58">
        <v>0</v>
      </c>
      <c r="G41" s="57">
        <v>0</v>
      </c>
      <c r="H41" s="58">
        <v>0</v>
      </c>
      <c r="I41" s="58">
        <v>0</v>
      </c>
      <c r="J41" s="59">
        <v>0</v>
      </c>
      <c r="K41" s="57">
        <v>0</v>
      </c>
      <c r="L41" s="58">
        <v>55.6</v>
      </c>
      <c r="M41" s="58">
        <v>0</v>
      </c>
      <c r="N41" s="59">
        <v>0</v>
      </c>
      <c r="O41" s="57">
        <v>0</v>
      </c>
      <c r="P41" s="58">
        <v>0</v>
      </c>
      <c r="Q41" s="58">
        <v>0</v>
      </c>
      <c r="R41" s="59">
        <v>0</v>
      </c>
      <c r="S41" s="57">
        <v>0</v>
      </c>
      <c r="T41" s="58">
        <v>0</v>
      </c>
      <c r="U41" s="58">
        <v>0</v>
      </c>
      <c r="V41" s="59">
        <v>0</v>
      </c>
      <c r="W41" s="58">
        <v>1.5</v>
      </c>
      <c r="X41" s="58">
        <v>1.8</v>
      </c>
      <c r="Y41" s="58">
        <v>2.3000000000000003</v>
      </c>
      <c r="Z41" s="59">
        <v>29</v>
      </c>
      <c r="AA41" s="57">
        <v>2.5</v>
      </c>
      <c r="AB41" s="58">
        <v>2.6</v>
      </c>
      <c r="AC41" s="58">
        <v>2.7</v>
      </c>
      <c r="AD41" s="59">
        <v>2.3</v>
      </c>
      <c r="AE41" s="58">
        <v>2.5</v>
      </c>
      <c r="AF41" s="58">
        <v>138.9</v>
      </c>
      <c r="AG41" s="58">
        <v>254</v>
      </c>
    </row>
    <row r="42" spans="1:33" ht="12.75">
      <c r="A42" s="104" t="s">
        <v>237</v>
      </c>
      <c r="B42" s="104" t="s">
        <v>30</v>
      </c>
      <c r="C42" s="39">
        <v>776.4</v>
      </c>
      <c r="D42" s="40">
        <v>952</v>
      </c>
      <c r="E42" s="40">
        <v>903.9</v>
      </c>
      <c r="F42" s="40">
        <v>570.7</v>
      </c>
      <c r="G42" s="39">
        <v>1002.4</v>
      </c>
      <c r="H42" s="40">
        <v>1086.3</v>
      </c>
      <c r="I42" s="40">
        <v>1034.7</v>
      </c>
      <c r="J42" s="41">
        <v>669.7</v>
      </c>
      <c r="K42" s="39">
        <v>999.7</v>
      </c>
      <c r="L42" s="40">
        <v>965.1</v>
      </c>
      <c r="M42" s="40">
        <v>949.6</v>
      </c>
      <c r="N42" s="41">
        <v>552.3</v>
      </c>
      <c r="O42" s="39">
        <v>1024.7</v>
      </c>
      <c r="P42" s="40">
        <v>1052.1000000000001</v>
      </c>
      <c r="Q42" s="40">
        <v>1147.5</v>
      </c>
      <c r="R42" s="41">
        <v>656.4</v>
      </c>
      <c r="S42" s="39">
        <v>1252.8</v>
      </c>
      <c r="T42" s="40">
        <v>1245.4</v>
      </c>
      <c r="U42" s="40">
        <v>1041.1</v>
      </c>
      <c r="V42" s="41">
        <v>945.9</v>
      </c>
      <c r="W42" s="40">
        <v>1121.7</v>
      </c>
      <c r="X42" s="40">
        <v>1084.3999999999999</v>
      </c>
      <c r="Y42" s="40">
        <v>973.6999999999999</v>
      </c>
      <c r="Z42" s="41">
        <v>830.2</v>
      </c>
      <c r="AA42" s="39">
        <v>812.1</v>
      </c>
      <c r="AB42" s="40">
        <v>1102.6000000000004</v>
      </c>
      <c r="AC42" s="40">
        <v>1112</v>
      </c>
      <c r="AD42" s="41">
        <v>943.3</v>
      </c>
      <c r="AE42" s="40">
        <v>1185.5000000000005</v>
      </c>
      <c r="AF42" s="40">
        <v>1177.5</v>
      </c>
      <c r="AG42" s="40">
        <v>1119.3999999999999</v>
      </c>
    </row>
    <row r="43" spans="1:33" s="13" customFormat="1" ht="12.75">
      <c r="A43" s="99" t="s">
        <v>238</v>
      </c>
      <c r="B43" s="99" t="s">
        <v>31</v>
      </c>
      <c r="C43" s="94">
        <f>SUM(C30:C39,C42)</f>
        <v>52688.700000000004</v>
      </c>
      <c r="D43" s="95">
        <f aca="true" t="shared" si="6" ref="D43:AD43">SUM(D30:D39,D42)</f>
        <v>49552.2</v>
      </c>
      <c r="E43" s="95">
        <f t="shared" si="6"/>
        <v>49424.5</v>
      </c>
      <c r="F43" s="95">
        <f t="shared" si="6"/>
        <v>48170.299999999996</v>
      </c>
      <c r="G43" s="94">
        <f t="shared" si="6"/>
        <v>56219.00000000001</v>
      </c>
      <c r="H43" s="95">
        <f t="shared" si="6"/>
        <v>56533.9</v>
      </c>
      <c r="I43" s="95">
        <f t="shared" si="6"/>
        <v>60982.899999999994</v>
      </c>
      <c r="J43" s="95">
        <f t="shared" si="6"/>
        <v>65386</v>
      </c>
      <c r="K43" s="94">
        <f t="shared" si="6"/>
        <v>63922.600000000006</v>
      </c>
      <c r="L43" s="95">
        <f t="shared" si="6"/>
        <v>59999.6</v>
      </c>
      <c r="M43" s="95">
        <f t="shared" si="6"/>
        <v>59512</v>
      </c>
      <c r="N43" s="95">
        <f t="shared" si="6"/>
        <v>54996.7</v>
      </c>
      <c r="O43" s="94">
        <f t="shared" si="6"/>
        <v>56965.1</v>
      </c>
      <c r="P43" s="95">
        <f t="shared" si="6"/>
        <v>56300.5</v>
      </c>
      <c r="Q43" s="95">
        <f t="shared" si="6"/>
        <v>56633.600000000006</v>
      </c>
      <c r="R43" s="95">
        <f t="shared" si="6"/>
        <v>58864.4</v>
      </c>
      <c r="S43" s="94">
        <f t="shared" si="6"/>
        <v>60055.5</v>
      </c>
      <c r="T43" s="95">
        <f t="shared" si="6"/>
        <v>61547.1</v>
      </c>
      <c r="U43" s="95">
        <f t="shared" si="6"/>
        <v>67499.2</v>
      </c>
      <c r="V43" s="95">
        <f t="shared" si="6"/>
        <v>63307.39999999999</v>
      </c>
      <c r="W43" s="95">
        <f t="shared" si="6"/>
        <v>65509.69999999999</v>
      </c>
      <c r="X43" s="95">
        <f t="shared" si="6"/>
        <v>63279.00000000001</v>
      </c>
      <c r="Y43" s="95">
        <f t="shared" si="6"/>
        <v>66210.6</v>
      </c>
      <c r="Z43" s="96">
        <f t="shared" si="6"/>
        <v>70130.70000000001</v>
      </c>
      <c r="AA43" s="94">
        <f t="shared" si="6"/>
        <v>69515</v>
      </c>
      <c r="AB43" s="95">
        <f t="shared" si="6"/>
        <v>73657.1</v>
      </c>
      <c r="AC43" s="95">
        <f t="shared" si="6"/>
        <v>76368.00000000001</v>
      </c>
      <c r="AD43" s="96">
        <f t="shared" si="6"/>
        <v>78123.4</v>
      </c>
      <c r="AE43" s="95">
        <f>SUM(AE30:AE39,AE42)</f>
        <v>83356.79999999999</v>
      </c>
      <c r="AF43" s="95">
        <f>SUM(AF30:AF39,AF42)</f>
        <v>89100.7</v>
      </c>
      <c r="AG43" s="95">
        <f>SUM(AG30:AG39,AG42)</f>
        <v>86914.3</v>
      </c>
    </row>
    <row r="44" spans="1:33" ht="12.75">
      <c r="A44" s="89" t="s">
        <v>239</v>
      </c>
      <c r="B44" s="89" t="s">
        <v>32</v>
      </c>
      <c r="C44" s="39"/>
      <c r="D44" s="40"/>
      <c r="E44" s="40"/>
      <c r="F44" s="40"/>
      <c r="G44" s="39"/>
      <c r="H44" s="40"/>
      <c r="I44" s="40"/>
      <c r="J44" s="41"/>
      <c r="K44" s="39"/>
      <c r="L44" s="40"/>
      <c r="M44" s="40"/>
      <c r="N44" s="41"/>
      <c r="O44" s="39"/>
      <c r="P44" s="40"/>
      <c r="Q44" s="40"/>
      <c r="R44" s="41"/>
      <c r="S44" s="39"/>
      <c r="T44" s="40"/>
      <c r="U44" s="40"/>
      <c r="V44" s="41"/>
      <c r="W44" s="40"/>
      <c r="X44" s="40"/>
      <c r="Y44" s="40"/>
      <c r="Z44" s="41"/>
      <c r="AA44" s="39"/>
      <c r="AB44" s="40"/>
      <c r="AC44" s="40"/>
      <c r="AD44" s="41"/>
      <c r="AE44" s="40"/>
      <c r="AF44" s="40"/>
      <c r="AG44" s="40"/>
    </row>
    <row r="45" spans="1:33" ht="12.75">
      <c r="A45" s="104" t="s">
        <v>240</v>
      </c>
      <c r="B45" s="104" t="s">
        <v>33</v>
      </c>
      <c r="C45" s="39">
        <v>130.1</v>
      </c>
      <c r="D45" s="40">
        <v>130.1</v>
      </c>
      <c r="E45" s="40">
        <v>130.1</v>
      </c>
      <c r="F45" s="40">
        <v>130.1</v>
      </c>
      <c r="G45" s="39">
        <v>130.1</v>
      </c>
      <c r="H45" s="40">
        <v>130.1</v>
      </c>
      <c r="I45" s="40">
        <v>130.1</v>
      </c>
      <c r="J45" s="41">
        <v>130.1</v>
      </c>
      <c r="K45" s="39">
        <v>130.1</v>
      </c>
      <c r="L45" s="40">
        <v>130.1</v>
      </c>
      <c r="M45" s="40">
        <v>130.1</v>
      </c>
      <c r="N45" s="41">
        <v>130.1</v>
      </c>
      <c r="O45" s="39">
        <v>130.1</v>
      </c>
      <c r="P45" s="40">
        <v>130.1</v>
      </c>
      <c r="Q45" s="40">
        <v>130.1</v>
      </c>
      <c r="R45" s="41">
        <v>130.1</v>
      </c>
      <c r="S45" s="39">
        <v>130.1</v>
      </c>
      <c r="T45" s="40">
        <v>130.1</v>
      </c>
      <c r="U45" s="40">
        <v>130.1</v>
      </c>
      <c r="V45" s="41">
        <v>130.1</v>
      </c>
      <c r="W45" s="40">
        <v>130.10000000000002</v>
      </c>
      <c r="X45" s="40">
        <v>130.10000000000002</v>
      </c>
      <c r="Y45" s="40">
        <v>130.10000000000002</v>
      </c>
      <c r="Z45" s="41">
        <v>130.10000000000002</v>
      </c>
      <c r="AA45" s="39">
        <v>130.10000000000002</v>
      </c>
      <c r="AB45" s="40">
        <v>130.10000000000002</v>
      </c>
      <c r="AC45" s="40">
        <v>130.10000000000002</v>
      </c>
      <c r="AD45" s="41">
        <v>130.10000000000002</v>
      </c>
      <c r="AE45" s="40">
        <v>130.10000000000002</v>
      </c>
      <c r="AF45" s="40">
        <v>130.10000000000002</v>
      </c>
      <c r="AG45" s="40">
        <v>130.1</v>
      </c>
    </row>
    <row r="46" spans="1:33" s="4" customFormat="1" ht="12.75">
      <c r="A46" s="103" t="s">
        <v>241</v>
      </c>
      <c r="B46" s="103" t="s">
        <v>34</v>
      </c>
      <c r="C46" s="39">
        <f>993.8-37.5</f>
        <v>956.3</v>
      </c>
      <c r="D46" s="40">
        <f>993.8-37.5</f>
        <v>956.3</v>
      </c>
      <c r="E46" s="40">
        <f>993.8-37.5</f>
        <v>956.3</v>
      </c>
      <c r="F46" s="40">
        <v>956.3</v>
      </c>
      <c r="G46" s="39">
        <v>956.3</v>
      </c>
      <c r="H46" s="40">
        <v>956.3</v>
      </c>
      <c r="I46" s="40">
        <v>956.3</v>
      </c>
      <c r="J46" s="41">
        <v>956.3</v>
      </c>
      <c r="K46" s="39">
        <v>956.3</v>
      </c>
      <c r="L46" s="40">
        <v>956.3</v>
      </c>
      <c r="M46" s="40">
        <v>956.3</v>
      </c>
      <c r="N46" s="41">
        <v>956.3</v>
      </c>
      <c r="O46" s="39">
        <v>956.3</v>
      </c>
      <c r="P46" s="40">
        <v>956.3</v>
      </c>
      <c r="Q46" s="40">
        <v>956.3</v>
      </c>
      <c r="R46" s="41">
        <v>956.3</v>
      </c>
      <c r="S46" s="39">
        <v>956.3</v>
      </c>
      <c r="T46" s="40">
        <v>956.3</v>
      </c>
      <c r="U46" s="40">
        <v>956.3</v>
      </c>
      <c r="V46" s="41">
        <v>956.3</v>
      </c>
      <c r="W46" s="40">
        <v>956.3</v>
      </c>
      <c r="X46" s="40">
        <v>956.3</v>
      </c>
      <c r="Y46" s="40">
        <v>956.3</v>
      </c>
      <c r="Z46" s="41">
        <v>956.3</v>
      </c>
      <c r="AA46" s="39">
        <v>956.3</v>
      </c>
      <c r="AB46" s="40">
        <v>956.3</v>
      </c>
      <c r="AC46" s="40">
        <v>956.3</v>
      </c>
      <c r="AD46" s="41">
        <v>956.3</v>
      </c>
      <c r="AE46" s="40">
        <v>956.3</v>
      </c>
      <c r="AF46" s="40">
        <v>956.3</v>
      </c>
      <c r="AG46" s="40">
        <v>956.3</v>
      </c>
    </row>
    <row r="47" spans="1:33" s="4" customFormat="1" ht="12.75">
      <c r="A47" s="103" t="s">
        <v>682</v>
      </c>
      <c r="B47" s="103" t="s">
        <v>664</v>
      </c>
      <c r="C47" s="39">
        <f aca="true" t="shared" si="7" ref="C47:AD47">SUM(C48:C51)</f>
        <v>74.2</v>
      </c>
      <c r="D47" s="40">
        <f t="shared" si="7"/>
        <v>-11.399999999999991</v>
      </c>
      <c r="E47" s="40">
        <f t="shared" si="7"/>
        <v>-12.5</v>
      </c>
      <c r="F47" s="40">
        <f t="shared" si="7"/>
        <v>-91.6</v>
      </c>
      <c r="G47" s="39">
        <f t="shared" si="7"/>
        <v>-90.00000000000001</v>
      </c>
      <c r="H47" s="40">
        <f t="shared" si="7"/>
        <v>-208.5</v>
      </c>
      <c r="I47" s="40">
        <f t="shared" si="7"/>
        <v>-75.2</v>
      </c>
      <c r="J47" s="41">
        <f t="shared" si="7"/>
        <v>-2.5</v>
      </c>
      <c r="K47" s="39">
        <f t="shared" si="7"/>
        <v>-24.60000000000001</v>
      </c>
      <c r="L47" s="40">
        <f t="shared" si="7"/>
        <v>12.2</v>
      </c>
      <c r="M47" s="40">
        <f t="shared" si="7"/>
        <v>28.099999999999994</v>
      </c>
      <c r="N47" s="41">
        <f t="shared" si="7"/>
        <v>48.7</v>
      </c>
      <c r="O47" s="39">
        <f t="shared" si="7"/>
        <v>117.5</v>
      </c>
      <c r="P47" s="40">
        <f t="shared" si="7"/>
        <v>73.2</v>
      </c>
      <c r="Q47" s="40">
        <f t="shared" si="7"/>
        <v>128.5</v>
      </c>
      <c r="R47" s="41">
        <f t="shared" si="7"/>
        <v>56.4</v>
      </c>
      <c r="S47" s="39">
        <f t="shared" si="7"/>
        <v>-28.500000000000004</v>
      </c>
      <c r="T47" s="40">
        <f t="shared" si="7"/>
        <v>99.10000000000001</v>
      </c>
      <c r="U47" s="40">
        <f t="shared" si="7"/>
        <v>118.20000000000002</v>
      </c>
      <c r="V47" s="41">
        <f t="shared" si="7"/>
        <v>118.29999999999995</v>
      </c>
      <c r="W47" s="40">
        <f t="shared" si="7"/>
        <v>187.1</v>
      </c>
      <c r="X47" s="40">
        <f t="shared" si="7"/>
        <v>244.2</v>
      </c>
      <c r="Y47" s="40">
        <f t="shared" si="7"/>
        <v>483.59999999999997</v>
      </c>
      <c r="Z47" s="41">
        <f t="shared" si="7"/>
        <v>999.6999999999999</v>
      </c>
      <c r="AA47" s="39">
        <f t="shared" si="7"/>
        <v>840.1</v>
      </c>
      <c r="AB47" s="40">
        <f t="shared" si="7"/>
        <v>516.8</v>
      </c>
      <c r="AC47" s="40">
        <f t="shared" si="7"/>
        <v>419.29999999999995</v>
      </c>
      <c r="AD47" s="41">
        <f t="shared" si="7"/>
        <v>524.3</v>
      </c>
      <c r="AE47" s="40">
        <f>SUM(AE48:AE51)</f>
        <v>526.5</v>
      </c>
      <c r="AF47" s="40">
        <f>SUM(AF48:AF51)</f>
        <v>1085.9</v>
      </c>
      <c r="AG47" s="40">
        <f>SUM(AG48:AG51)</f>
        <v>1584.5</v>
      </c>
    </row>
    <row r="48" spans="1:33" s="7" customFormat="1" ht="12.75" outlineLevel="1">
      <c r="A48" s="294" t="s">
        <v>242</v>
      </c>
      <c r="B48" s="295" t="s">
        <v>675</v>
      </c>
      <c r="C48" s="57">
        <v>22.1</v>
      </c>
      <c r="D48" s="58">
        <v>-65.1</v>
      </c>
      <c r="E48" s="58">
        <v>-76.9</v>
      </c>
      <c r="F48" s="58">
        <v>-149.6</v>
      </c>
      <c r="G48" s="57">
        <v>-143.9</v>
      </c>
      <c r="H48" s="58">
        <v>-239.1</v>
      </c>
      <c r="I48" s="58">
        <v>-127.5</v>
      </c>
      <c r="J48" s="59">
        <v>-101</v>
      </c>
      <c r="K48" s="57">
        <v>-119.2</v>
      </c>
      <c r="L48" s="58">
        <v>-60.3</v>
      </c>
      <c r="M48" s="58">
        <v>-36.6</v>
      </c>
      <c r="N48" s="59">
        <v>-1.4</v>
      </c>
      <c r="O48" s="57">
        <v>47.5</v>
      </c>
      <c r="P48" s="58">
        <v>-3.9</v>
      </c>
      <c r="Q48" s="58">
        <v>42.9</v>
      </c>
      <c r="R48" s="59">
        <v>8.6</v>
      </c>
      <c r="S48" s="57">
        <v>-46.2</v>
      </c>
      <c r="T48" s="58">
        <v>45.6</v>
      </c>
      <c r="U48" s="58">
        <v>6.1</v>
      </c>
      <c r="V48" s="59">
        <v>20.799999999999955</v>
      </c>
      <c r="W48" s="58">
        <v>99.5</v>
      </c>
      <c r="X48" s="58">
        <v>123.4</v>
      </c>
      <c r="Y48" s="58">
        <v>290.9</v>
      </c>
      <c r="Z48" s="59">
        <v>590.6999999999999</v>
      </c>
      <c r="AA48" s="57">
        <v>421.9</v>
      </c>
      <c r="AB48" s="58">
        <v>247.20000000000002</v>
      </c>
      <c r="AC48" s="58">
        <v>186.4</v>
      </c>
      <c r="AD48" s="59">
        <v>273.7</v>
      </c>
      <c r="AE48" s="58">
        <v>220.20000000000002</v>
      </c>
      <c r="AF48" s="58">
        <v>393.4</v>
      </c>
      <c r="AG48" s="58">
        <v>535.4</v>
      </c>
    </row>
    <row r="49" spans="1:33" s="7" customFormat="1" ht="12.75" outlineLevel="1">
      <c r="A49" s="294" t="s">
        <v>243</v>
      </c>
      <c r="B49" s="295" t="s">
        <v>676</v>
      </c>
      <c r="C49" s="57">
        <v>52.1</v>
      </c>
      <c r="D49" s="58">
        <v>53.7</v>
      </c>
      <c r="E49" s="58">
        <v>64.4</v>
      </c>
      <c r="F49" s="58">
        <v>58</v>
      </c>
      <c r="G49" s="57">
        <v>57.8</v>
      </c>
      <c r="H49" s="58">
        <v>50.8</v>
      </c>
      <c r="I49" s="58">
        <v>50.2</v>
      </c>
      <c r="J49" s="59">
        <v>52.9</v>
      </c>
      <c r="K49" s="57">
        <v>52.9</v>
      </c>
      <c r="L49" s="58">
        <v>52.8</v>
      </c>
      <c r="M49" s="58">
        <v>52.8</v>
      </c>
      <c r="N49" s="59">
        <v>51.1</v>
      </c>
      <c r="O49" s="57">
        <v>51.1</v>
      </c>
      <c r="P49" s="58">
        <v>51.1</v>
      </c>
      <c r="Q49" s="58">
        <v>51.5</v>
      </c>
      <c r="R49" s="59">
        <v>47.4</v>
      </c>
      <c r="S49" s="57">
        <v>45.9</v>
      </c>
      <c r="T49" s="58">
        <v>45.7</v>
      </c>
      <c r="U49" s="58">
        <v>44.7</v>
      </c>
      <c r="V49" s="59">
        <v>39.3</v>
      </c>
      <c r="W49" s="58">
        <v>38.6</v>
      </c>
      <c r="X49" s="58">
        <v>38.1</v>
      </c>
      <c r="Y49" s="58">
        <v>38</v>
      </c>
      <c r="Z49" s="59">
        <v>42</v>
      </c>
      <c r="AA49" s="57">
        <v>42</v>
      </c>
      <c r="AB49" s="58">
        <v>41.6</v>
      </c>
      <c r="AC49" s="58">
        <v>41.4</v>
      </c>
      <c r="AD49" s="59">
        <v>43.2</v>
      </c>
      <c r="AE49" s="58">
        <v>41.7</v>
      </c>
      <c r="AF49" s="58">
        <v>41.7</v>
      </c>
      <c r="AG49" s="58">
        <v>40.3</v>
      </c>
    </row>
    <row r="50" spans="1:33" s="7" customFormat="1" ht="12.75" outlineLevel="1">
      <c r="A50" s="294" t="s">
        <v>244</v>
      </c>
      <c r="B50" s="295" t="s">
        <v>677</v>
      </c>
      <c r="C50" s="57">
        <v>0</v>
      </c>
      <c r="D50" s="58">
        <v>0</v>
      </c>
      <c r="E50" s="58">
        <v>0</v>
      </c>
      <c r="F50" s="58">
        <v>0</v>
      </c>
      <c r="G50" s="57">
        <v>-3.9</v>
      </c>
      <c r="H50" s="58">
        <v>-20.2</v>
      </c>
      <c r="I50" s="58">
        <v>2.1</v>
      </c>
      <c r="J50" s="59">
        <v>45.6</v>
      </c>
      <c r="K50" s="57">
        <v>41.7</v>
      </c>
      <c r="L50" s="58">
        <v>19.7</v>
      </c>
      <c r="M50" s="58">
        <v>11.9</v>
      </c>
      <c r="N50" s="59">
        <v>-1</v>
      </c>
      <c r="O50" s="57">
        <v>18.9</v>
      </c>
      <c r="P50" s="58">
        <v>26</v>
      </c>
      <c r="Q50" s="58">
        <v>34.1</v>
      </c>
      <c r="R50" s="59">
        <v>0.4</v>
      </c>
      <c r="S50" s="57">
        <v>-28.2</v>
      </c>
      <c r="T50" s="58">
        <v>7.800000000000001</v>
      </c>
      <c r="U50" s="58">
        <v>67.4</v>
      </c>
      <c r="V50" s="59">
        <v>58.2</v>
      </c>
      <c r="W50" s="58">
        <v>49</v>
      </c>
      <c r="X50" s="58">
        <v>82.7</v>
      </c>
      <c r="Y50" s="58">
        <v>154.7</v>
      </c>
      <c r="Z50" s="59">
        <v>367</v>
      </c>
      <c r="AA50" s="57">
        <v>375.8</v>
      </c>
      <c r="AB50" s="58">
        <v>227.6</v>
      </c>
      <c r="AC50" s="58">
        <v>191.1</v>
      </c>
      <c r="AD50" s="59">
        <v>205.5</v>
      </c>
      <c r="AE50" s="58">
        <v>262.7</v>
      </c>
      <c r="AF50" s="58">
        <v>648.9</v>
      </c>
      <c r="AG50" s="58">
        <v>1006.9</v>
      </c>
    </row>
    <row r="51" spans="1:33" s="7" customFormat="1" ht="12.75" outlineLevel="1">
      <c r="A51" s="294" t="s">
        <v>651</v>
      </c>
      <c r="B51" s="295" t="s">
        <v>678</v>
      </c>
      <c r="C51" s="57">
        <v>0</v>
      </c>
      <c r="D51" s="58">
        <v>0</v>
      </c>
      <c r="E51" s="58">
        <v>0</v>
      </c>
      <c r="F51" s="58">
        <v>0</v>
      </c>
      <c r="G51" s="57">
        <v>0</v>
      </c>
      <c r="H51" s="58">
        <v>0</v>
      </c>
      <c r="I51" s="58">
        <v>0</v>
      </c>
      <c r="J51" s="59">
        <v>0</v>
      </c>
      <c r="K51" s="57">
        <v>0</v>
      </c>
      <c r="L51" s="58">
        <v>0</v>
      </c>
      <c r="M51" s="58">
        <v>0</v>
      </c>
      <c r="N51" s="59">
        <v>0</v>
      </c>
      <c r="O51" s="57">
        <v>0</v>
      </c>
      <c r="P51" s="58">
        <v>0</v>
      </c>
      <c r="Q51" s="58">
        <v>0</v>
      </c>
      <c r="R51" s="59">
        <v>0</v>
      </c>
      <c r="S51" s="57">
        <v>0</v>
      </c>
      <c r="T51" s="58">
        <v>0</v>
      </c>
      <c r="U51" s="58">
        <v>0</v>
      </c>
      <c r="V51" s="59">
        <v>0</v>
      </c>
      <c r="W51" s="58">
        <v>0</v>
      </c>
      <c r="X51" s="58">
        <v>0</v>
      </c>
      <c r="Y51" s="58">
        <v>0</v>
      </c>
      <c r="Z51" s="59">
        <v>0</v>
      </c>
      <c r="AA51" s="57">
        <v>0.4</v>
      </c>
      <c r="AB51" s="58">
        <v>0.4</v>
      </c>
      <c r="AC51" s="58">
        <v>0.4</v>
      </c>
      <c r="AD51" s="59">
        <v>1.9</v>
      </c>
      <c r="AE51" s="58">
        <v>1.9</v>
      </c>
      <c r="AF51" s="58">
        <v>1.9000000000000001</v>
      </c>
      <c r="AG51" s="58">
        <v>1.9000000000000001</v>
      </c>
    </row>
    <row r="52" spans="1:33" ht="12.75" collapsed="1">
      <c r="A52" s="104" t="s">
        <v>245</v>
      </c>
      <c r="B52" s="104" t="s">
        <v>35</v>
      </c>
      <c r="C52" s="39">
        <v>0</v>
      </c>
      <c r="D52" s="40">
        <v>0</v>
      </c>
      <c r="E52" s="40">
        <v>0</v>
      </c>
      <c r="F52" s="40">
        <v>0</v>
      </c>
      <c r="G52" s="39">
        <v>0</v>
      </c>
      <c r="H52" s="40">
        <v>0</v>
      </c>
      <c r="I52" s="40">
        <v>0</v>
      </c>
      <c r="J52" s="41">
        <v>0</v>
      </c>
      <c r="K52" s="39">
        <v>0</v>
      </c>
      <c r="L52" s="40">
        <v>14.2</v>
      </c>
      <c r="M52" s="40">
        <v>15</v>
      </c>
      <c r="N52" s="41">
        <v>15.8</v>
      </c>
      <c r="O52" s="39">
        <v>16.6</v>
      </c>
      <c r="P52" s="40">
        <v>17.8</v>
      </c>
      <c r="Q52" s="40">
        <v>19.4</v>
      </c>
      <c r="R52" s="41">
        <v>21.1</v>
      </c>
      <c r="S52" s="39">
        <v>22.7</v>
      </c>
      <c r="T52" s="40">
        <v>25</v>
      </c>
      <c r="U52" s="40">
        <v>27.8</v>
      </c>
      <c r="V52" s="41">
        <v>30.8</v>
      </c>
      <c r="W52" s="40">
        <v>33.6</v>
      </c>
      <c r="X52" s="40">
        <v>35.5</v>
      </c>
      <c r="Y52" s="40">
        <v>38.5</v>
      </c>
      <c r="Z52" s="41">
        <v>41.3</v>
      </c>
      <c r="AA52" s="39">
        <v>43.9</v>
      </c>
      <c r="AB52" s="40">
        <v>44.5</v>
      </c>
      <c r="AC52" s="40">
        <v>45.3</v>
      </c>
      <c r="AD52" s="41">
        <v>46.1</v>
      </c>
      <c r="AE52" s="40">
        <v>47</v>
      </c>
      <c r="AF52" s="40">
        <v>47.7</v>
      </c>
      <c r="AG52" s="40">
        <v>47.900000000000006</v>
      </c>
    </row>
    <row r="53" spans="1:33" ht="12.75">
      <c r="A53" s="104" t="s">
        <v>246</v>
      </c>
      <c r="B53" s="104" t="s">
        <v>36</v>
      </c>
      <c r="C53" s="39">
        <f>2704.2+37.5</f>
        <v>2741.7</v>
      </c>
      <c r="D53" s="40">
        <f>2509.5+37.5</f>
        <v>2547</v>
      </c>
      <c r="E53" s="40">
        <f>2709+37.5</f>
        <v>2746.5</v>
      </c>
      <c r="F53" s="40">
        <v>2844</v>
      </c>
      <c r="G53" s="39">
        <v>3017.3</v>
      </c>
      <c r="H53" s="40">
        <v>3099.7</v>
      </c>
      <c r="I53" s="40">
        <v>3266.7</v>
      </c>
      <c r="J53" s="41">
        <v>3138.3</v>
      </c>
      <c r="K53" s="39">
        <v>3219.1</v>
      </c>
      <c r="L53" s="40">
        <v>3401.8</v>
      </c>
      <c r="M53" s="40">
        <v>3612.6</v>
      </c>
      <c r="N53" s="41">
        <v>3733.5</v>
      </c>
      <c r="O53" s="39">
        <v>3911.2000000000003</v>
      </c>
      <c r="P53" s="40">
        <v>4102.8</v>
      </c>
      <c r="Q53" s="40">
        <v>4295.2</v>
      </c>
      <c r="R53" s="41">
        <v>4486.9</v>
      </c>
      <c r="S53" s="39">
        <v>4701.400000000001</v>
      </c>
      <c r="T53" s="40">
        <v>4741</v>
      </c>
      <c r="U53" s="40">
        <v>4962.2</v>
      </c>
      <c r="V53" s="41">
        <v>5178.2</v>
      </c>
      <c r="W53" s="40">
        <v>5444</v>
      </c>
      <c r="X53" s="40">
        <v>5612.7</v>
      </c>
      <c r="Y53" s="40">
        <v>5816.4</v>
      </c>
      <c r="Z53" s="41">
        <v>6006.4</v>
      </c>
      <c r="AA53" s="39">
        <v>6266.1</v>
      </c>
      <c r="AB53" s="40">
        <v>6483.5</v>
      </c>
      <c r="AC53" s="40">
        <v>6718.2</v>
      </c>
      <c r="AD53" s="41">
        <v>6969.499999999999</v>
      </c>
      <c r="AE53" s="40">
        <v>7225.699999999999</v>
      </c>
      <c r="AF53" s="40">
        <v>6938.699999999999</v>
      </c>
      <c r="AG53" s="40">
        <v>7212.799999999999</v>
      </c>
    </row>
    <row r="54" spans="1:33" s="13" customFormat="1" ht="12.75">
      <c r="A54" s="99" t="s">
        <v>247</v>
      </c>
      <c r="B54" s="99" t="s">
        <v>37</v>
      </c>
      <c r="C54" s="94">
        <f>SUM(C45:C47,C52:C53)</f>
        <v>3902.2999999999997</v>
      </c>
      <c r="D54" s="95">
        <f aca="true" t="shared" si="8" ref="D54:AF54">SUM(D45:D47,D52:D53)</f>
        <v>3622</v>
      </c>
      <c r="E54" s="95">
        <f t="shared" si="8"/>
        <v>3820.3999999999996</v>
      </c>
      <c r="F54" s="95">
        <f t="shared" si="8"/>
        <v>3838.7999999999997</v>
      </c>
      <c r="G54" s="94">
        <f t="shared" si="8"/>
        <v>4013.7</v>
      </c>
      <c r="H54" s="95">
        <f t="shared" si="8"/>
        <v>3977.5999999999995</v>
      </c>
      <c r="I54" s="95">
        <f t="shared" si="8"/>
        <v>4277.9</v>
      </c>
      <c r="J54" s="95">
        <f t="shared" si="8"/>
        <v>4222.2</v>
      </c>
      <c r="K54" s="94">
        <f t="shared" si="8"/>
        <v>4280.9</v>
      </c>
      <c r="L54" s="95">
        <f t="shared" si="8"/>
        <v>4514.6</v>
      </c>
      <c r="M54" s="95">
        <f t="shared" si="8"/>
        <v>4742.099999999999</v>
      </c>
      <c r="N54" s="95">
        <f t="shared" si="8"/>
        <v>4884.4</v>
      </c>
      <c r="O54" s="94">
        <f t="shared" si="8"/>
        <v>5131.7</v>
      </c>
      <c r="P54" s="95">
        <f t="shared" si="8"/>
        <v>5280.2</v>
      </c>
      <c r="Q54" s="95">
        <f t="shared" si="8"/>
        <v>5529.5</v>
      </c>
      <c r="R54" s="95">
        <f t="shared" si="8"/>
        <v>5650.799999999999</v>
      </c>
      <c r="S54" s="94">
        <f t="shared" si="8"/>
        <v>5782</v>
      </c>
      <c r="T54" s="95">
        <f t="shared" si="8"/>
        <v>5951.5</v>
      </c>
      <c r="U54" s="95">
        <f t="shared" si="8"/>
        <v>6194.599999999999</v>
      </c>
      <c r="V54" s="95">
        <f t="shared" si="8"/>
        <v>6413.7</v>
      </c>
      <c r="W54" s="94">
        <f t="shared" si="8"/>
        <v>6751.1</v>
      </c>
      <c r="X54" s="95">
        <f t="shared" si="8"/>
        <v>6978.8</v>
      </c>
      <c r="Y54" s="95">
        <f t="shared" si="8"/>
        <v>7424.9</v>
      </c>
      <c r="Z54" s="96">
        <f t="shared" si="8"/>
        <v>8133.799999999999</v>
      </c>
      <c r="AA54" s="94">
        <f t="shared" si="8"/>
        <v>8236.5</v>
      </c>
      <c r="AB54" s="95">
        <f t="shared" si="8"/>
        <v>8131.2</v>
      </c>
      <c r="AC54" s="95">
        <f t="shared" si="8"/>
        <v>8269.2</v>
      </c>
      <c r="AD54" s="96">
        <f t="shared" si="8"/>
        <v>8626.3</v>
      </c>
      <c r="AE54" s="95">
        <f t="shared" si="8"/>
        <v>8885.599999999999</v>
      </c>
      <c r="AF54" s="95">
        <f t="shared" si="8"/>
        <v>9158.699999999999</v>
      </c>
      <c r="AG54" s="95">
        <f>SUM(AG45:AG47,AG52:AG53)</f>
        <v>9931.599999999999</v>
      </c>
    </row>
    <row r="55" spans="1:33" ht="6" customHeight="1">
      <c r="A55" s="88"/>
      <c r="B55" s="88"/>
      <c r="C55" s="39"/>
      <c r="D55" s="40"/>
      <c r="E55" s="40"/>
      <c r="F55" s="40"/>
      <c r="G55" s="39"/>
      <c r="H55" s="40"/>
      <c r="I55" s="40"/>
      <c r="J55" s="41"/>
      <c r="K55" s="39"/>
      <c r="L55" s="40"/>
      <c r="M55" s="40"/>
      <c r="N55" s="41"/>
      <c r="O55" s="39"/>
      <c r="P55" s="40"/>
      <c r="Q55" s="40"/>
      <c r="R55" s="41"/>
      <c r="S55" s="39"/>
      <c r="T55" s="40"/>
      <c r="U55" s="40"/>
      <c r="V55" s="41"/>
      <c r="W55" s="40"/>
      <c r="X55" s="40"/>
      <c r="Y55" s="40"/>
      <c r="Z55" s="41"/>
      <c r="AA55" s="39"/>
      <c r="AB55" s="40"/>
      <c r="AC55" s="40"/>
      <c r="AD55" s="41"/>
      <c r="AE55" s="40"/>
      <c r="AF55" s="40"/>
      <c r="AG55" s="40"/>
    </row>
    <row r="56" spans="1:33" ht="12.75">
      <c r="A56" s="104" t="s">
        <v>248</v>
      </c>
      <c r="B56" s="104" t="s">
        <v>38</v>
      </c>
      <c r="C56" s="39">
        <v>25.9</v>
      </c>
      <c r="D56" s="40">
        <v>28.9</v>
      </c>
      <c r="E56" s="40">
        <v>1.7</v>
      </c>
      <c r="F56" s="40">
        <v>1.7</v>
      </c>
      <c r="G56" s="39">
        <v>1.7</v>
      </c>
      <c r="H56" s="40">
        <v>1.7</v>
      </c>
      <c r="I56" s="40">
        <v>1.8</v>
      </c>
      <c r="J56" s="41">
        <v>2.3</v>
      </c>
      <c r="K56" s="39">
        <v>2.3</v>
      </c>
      <c r="L56" s="40">
        <v>2.3</v>
      </c>
      <c r="M56" s="40">
        <v>2.3</v>
      </c>
      <c r="N56" s="41">
        <v>2.3</v>
      </c>
      <c r="O56" s="39">
        <v>2.3</v>
      </c>
      <c r="P56" s="40">
        <v>2.3</v>
      </c>
      <c r="Q56" s="40">
        <v>2.4</v>
      </c>
      <c r="R56" s="41">
        <v>2.3</v>
      </c>
      <c r="S56" s="39">
        <v>2.3</v>
      </c>
      <c r="T56" s="40">
        <v>2.3</v>
      </c>
      <c r="U56" s="40">
        <v>2.3</v>
      </c>
      <c r="V56" s="41">
        <v>2.3</v>
      </c>
      <c r="W56" s="40">
        <v>2.3</v>
      </c>
      <c r="X56" s="40">
        <v>2.3</v>
      </c>
      <c r="Y56" s="40">
        <v>2.3</v>
      </c>
      <c r="Z56" s="41">
        <v>2.3</v>
      </c>
      <c r="AA56" s="39">
        <v>2.3</v>
      </c>
      <c r="AB56" s="40">
        <v>2.3</v>
      </c>
      <c r="AC56" s="40">
        <v>2.3</v>
      </c>
      <c r="AD56" s="41">
        <v>2.3</v>
      </c>
      <c r="AE56" s="40">
        <v>2.3</v>
      </c>
      <c r="AF56" s="40">
        <v>2.4000000000000012</v>
      </c>
      <c r="AG56" s="40">
        <v>2.6</v>
      </c>
    </row>
    <row r="57" spans="1:33" ht="6" customHeight="1">
      <c r="A57" s="104"/>
      <c r="B57" s="104"/>
      <c r="C57" s="39"/>
      <c r="D57" s="40"/>
      <c r="E57" s="40"/>
      <c r="F57" s="40"/>
      <c r="G57" s="39"/>
      <c r="H57" s="40"/>
      <c r="I57" s="40"/>
      <c r="J57" s="41"/>
      <c r="K57" s="39"/>
      <c r="L57" s="40"/>
      <c r="M57" s="40"/>
      <c r="N57" s="41"/>
      <c r="O57" s="39"/>
      <c r="P57" s="40"/>
      <c r="Q57" s="40"/>
      <c r="R57" s="41"/>
      <c r="S57" s="39"/>
      <c r="T57" s="40"/>
      <c r="U57" s="40"/>
      <c r="V57" s="41"/>
      <c r="W57" s="40"/>
      <c r="X57" s="40"/>
      <c r="Y57" s="40"/>
      <c r="Z57" s="41"/>
      <c r="AA57" s="39"/>
      <c r="AB57" s="40"/>
      <c r="AC57" s="40"/>
      <c r="AD57" s="41"/>
      <c r="AE57" s="40"/>
      <c r="AF57" s="40"/>
      <c r="AG57" s="40"/>
    </row>
    <row r="58" spans="1:33" s="13" customFormat="1" ht="12.75">
      <c r="A58" s="99" t="s">
        <v>249</v>
      </c>
      <c r="B58" s="99" t="s">
        <v>39</v>
      </c>
      <c r="C58" s="94">
        <f>C54+C56</f>
        <v>3928.2</v>
      </c>
      <c r="D58" s="95">
        <f aca="true" t="shared" si="9" ref="D58:W58">D54+D56</f>
        <v>3650.9</v>
      </c>
      <c r="E58" s="95">
        <f t="shared" si="9"/>
        <v>3822.0999999999995</v>
      </c>
      <c r="F58" s="95">
        <f t="shared" si="9"/>
        <v>3840.4999999999995</v>
      </c>
      <c r="G58" s="94">
        <f t="shared" si="9"/>
        <v>4015.3999999999996</v>
      </c>
      <c r="H58" s="95">
        <f t="shared" si="9"/>
        <v>3979.2999999999993</v>
      </c>
      <c r="I58" s="95">
        <f t="shared" si="9"/>
        <v>4279.7</v>
      </c>
      <c r="J58" s="95">
        <f t="shared" si="9"/>
        <v>4224.5</v>
      </c>
      <c r="K58" s="94">
        <f t="shared" si="9"/>
        <v>4283.2</v>
      </c>
      <c r="L58" s="95">
        <f t="shared" si="9"/>
        <v>4516.900000000001</v>
      </c>
      <c r="M58" s="95">
        <f t="shared" si="9"/>
        <v>4744.4</v>
      </c>
      <c r="N58" s="95">
        <f t="shared" si="9"/>
        <v>4886.7</v>
      </c>
      <c r="O58" s="94">
        <f t="shared" si="9"/>
        <v>5134</v>
      </c>
      <c r="P58" s="95">
        <f t="shared" si="9"/>
        <v>5282.5</v>
      </c>
      <c r="Q58" s="95">
        <f t="shared" si="9"/>
        <v>5531.9</v>
      </c>
      <c r="R58" s="95">
        <f t="shared" si="9"/>
        <v>5653.099999999999</v>
      </c>
      <c r="S58" s="94">
        <f t="shared" si="9"/>
        <v>5784.3</v>
      </c>
      <c r="T58" s="95">
        <f t="shared" si="9"/>
        <v>5953.8</v>
      </c>
      <c r="U58" s="95">
        <f t="shared" si="9"/>
        <v>6196.9</v>
      </c>
      <c r="V58" s="95">
        <f t="shared" si="9"/>
        <v>6416</v>
      </c>
      <c r="W58" s="94">
        <f t="shared" si="9"/>
        <v>6753.400000000001</v>
      </c>
      <c r="X58" s="95">
        <f>X54+X56</f>
        <v>6981.1</v>
      </c>
      <c r="Y58" s="95">
        <f aca="true" t="shared" si="10" ref="Y58:AD58">Y54+Y56</f>
        <v>7427.2</v>
      </c>
      <c r="Z58" s="96">
        <f t="shared" si="10"/>
        <v>8136.099999999999</v>
      </c>
      <c r="AA58" s="94">
        <f t="shared" si="10"/>
        <v>8238.8</v>
      </c>
      <c r="AB58" s="95">
        <f t="shared" si="10"/>
        <v>8133.5</v>
      </c>
      <c r="AC58" s="95">
        <f t="shared" si="10"/>
        <v>8271.5</v>
      </c>
      <c r="AD58" s="96">
        <f t="shared" si="10"/>
        <v>8628.599999999999</v>
      </c>
      <c r="AE58" s="95">
        <f>AE54+AE56</f>
        <v>8887.899999999998</v>
      </c>
      <c r="AF58" s="95">
        <f>AF54+AF56</f>
        <v>9161.099999999999</v>
      </c>
      <c r="AG58" s="95">
        <f>AG54+AG56</f>
        <v>9934.199999999999</v>
      </c>
    </row>
    <row r="59" spans="1:33" ht="12.75">
      <c r="A59" s="104"/>
      <c r="B59" s="104"/>
      <c r="C59" s="39"/>
      <c r="D59" s="40"/>
      <c r="E59" s="40"/>
      <c r="F59" s="40"/>
      <c r="G59" s="39"/>
      <c r="H59" s="40"/>
      <c r="I59" s="40"/>
      <c r="J59" s="41"/>
      <c r="K59" s="39"/>
      <c r="L59" s="40"/>
      <c r="M59" s="40"/>
      <c r="N59" s="41"/>
      <c r="O59" s="39"/>
      <c r="P59" s="40"/>
      <c r="Q59" s="40"/>
      <c r="R59" s="41"/>
      <c r="S59" s="39"/>
      <c r="T59" s="40"/>
      <c r="U59" s="40"/>
      <c r="V59" s="41"/>
      <c r="W59" s="40"/>
      <c r="X59" s="40"/>
      <c r="Y59" s="40"/>
      <c r="Z59" s="41"/>
      <c r="AA59" s="39"/>
      <c r="AB59" s="40"/>
      <c r="AC59" s="40"/>
      <c r="AD59" s="41"/>
      <c r="AE59" s="40"/>
      <c r="AF59" s="40"/>
      <c r="AG59" s="40"/>
    </row>
    <row r="60" spans="1:33" s="13" customFormat="1" ht="12.75">
      <c r="A60" s="99" t="s">
        <v>250</v>
      </c>
      <c r="B60" s="99" t="s">
        <v>40</v>
      </c>
      <c r="C60" s="94">
        <f aca="true" t="shared" si="11" ref="C60:AD60">C43+C58</f>
        <v>56616.9</v>
      </c>
      <c r="D60" s="95">
        <f t="shared" si="11"/>
        <v>53203.1</v>
      </c>
      <c r="E60" s="95">
        <f t="shared" si="11"/>
        <v>53246.6</v>
      </c>
      <c r="F60" s="95">
        <f t="shared" si="11"/>
        <v>52010.799999999996</v>
      </c>
      <c r="G60" s="94">
        <f t="shared" si="11"/>
        <v>60234.40000000001</v>
      </c>
      <c r="H60" s="95">
        <f t="shared" si="11"/>
        <v>60513.2</v>
      </c>
      <c r="I60" s="95">
        <f t="shared" si="11"/>
        <v>65262.59999999999</v>
      </c>
      <c r="J60" s="95">
        <f t="shared" si="11"/>
        <v>69610.5</v>
      </c>
      <c r="K60" s="94">
        <f t="shared" si="11"/>
        <v>68205.8</v>
      </c>
      <c r="L60" s="95">
        <f t="shared" si="11"/>
        <v>64516.5</v>
      </c>
      <c r="M60" s="95">
        <f t="shared" si="11"/>
        <v>64256.4</v>
      </c>
      <c r="N60" s="95">
        <f t="shared" si="11"/>
        <v>59883.399999999994</v>
      </c>
      <c r="O60" s="94">
        <f t="shared" si="11"/>
        <v>62099.1</v>
      </c>
      <c r="P60" s="95">
        <f t="shared" si="11"/>
        <v>61583</v>
      </c>
      <c r="Q60" s="95">
        <f t="shared" si="11"/>
        <v>62165.50000000001</v>
      </c>
      <c r="R60" s="95">
        <f t="shared" si="11"/>
        <v>64517.5</v>
      </c>
      <c r="S60" s="94">
        <f t="shared" si="11"/>
        <v>65839.8</v>
      </c>
      <c r="T60" s="95">
        <f t="shared" si="11"/>
        <v>67500.9</v>
      </c>
      <c r="U60" s="95">
        <f t="shared" si="11"/>
        <v>73696.09999999999</v>
      </c>
      <c r="V60" s="95">
        <f t="shared" si="11"/>
        <v>69723.4</v>
      </c>
      <c r="W60" s="94">
        <f t="shared" si="11"/>
        <v>72263.09999999999</v>
      </c>
      <c r="X60" s="95">
        <f t="shared" si="11"/>
        <v>70260.1</v>
      </c>
      <c r="Y60" s="95">
        <f t="shared" si="11"/>
        <v>73637.8</v>
      </c>
      <c r="Z60" s="96">
        <f t="shared" si="11"/>
        <v>78266.80000000002</v>
      </c>
      <c r="AA60" s="94">
        <f t="shared" si="11"/>
        <v>77753.8</v>
      </c>
      <c r="AB60" s="95">
        <f t="shared" si="11"/>
        <v>81790.6</v>
      </c>
      <c r="AC60" s="95">
        <f t="shared" si="11"/>
        <v>84639.50000000001</v>
      </c>
      <c r="AD60" s="96">
        <f t="shared" si="11"/>
        <v>86752</v>
      </c>
      <c r="AE60" s="95">
        <f>AE43+AE58</f>
        <v>92244.69999999998</v>
      </c>
      <c r="AF60" s="95">
        <f>AF43+AF58</f>
        <v>98261.79999999999</v>
      </c>
      <c r="AG60" s="95">
        <f>AG43+AG58</f>
        <v>96848.5</v>
      </c>
    </row>
    <row r="61" spans="1:33" ht="12.75">
      <c r="A61" s="3"/>
      <c r="B61" s="3"/>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row>
    <row r="62" spans="27:33" ht="12.75">
      <c r="AA62" s="115"/>
      <c r="AB62" s="115"/>
      <c r="AC62" s="115"/>
      <c r="AD62" s="115"/>
      <c r="AE62" s="115"/>
      <c r="AF62" s="115"/>
      <c r="AG62" s="115"/>
    </row>
  </sheetData>
  <sheetProtection/>
  <mergeCells count="10">
    <mergeCell ref="AE2:AG2"/>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horizontalDpi="600" verticalDpi="600" orientation="landscape" paperSize="9" scale="43" r:id="rId1"/>
  <headerFooter alignWithMargins="0">
    <oddHeader>&amp;C&amp;"Times New Roman,Kursywa"&amp;12
</oddHeader>
  </headerFooter>
  <ignoredErrors>
    <ignoredError sqref="C55:Z57 C59:Z59 D58:W58 D60:Z60 Y58:Z58 AC10:AD10 C48:Z50 C44:Z46 C52:Z53 C37:Z38 C27:Z34 C18:Z18 C16:Z16 AA10:AB10 C23:Z25 C10:Z13 C40:Z42 C6:AE9 C43:AD43 AA40:AE42 C14:AE15 AA11:AE13 AA23:AE25 AE10 AA16:AE16 C22:AE22 AA18:AE21 C35:AE36 AA27:AE34 C39:AE39 AA37:AE38 C54:AE54 AA52:AE53 C47:AE47 AA44:AE46 C51:AE51 AA48:AE50 C20:Z21 C19 E19:Z19 C17:D17 E17:AE17 AF39:AF58 AF10:AF25 AG54 AG39:AG52 AG10:AG38 AG53 AG55:AG58" formulaRange="1"/>
  </ignoredErrors>
</worksheet>
</file>

<file path=xl/worksheets/sheet9.xml><?xml version="1.0" encoding="utf-8"?>
<worksheet xmlns="http://schemas.openxmlformats.org/spreadsheetml/2006/main" xmlns:r="http://schemas.openxmlformats.org/officeDocument/2006/relationships">
  <dimension ref="A1:AG92"/>
  <sheetViews>
    <sheetView showGridLines="0" view="pageBreakPreview" zoomScale="85" zoomScaleSheetLayoutView="85" zoomScalePageLayoutView="80" workbookViewId="0" topLeftCell="A1">
      <pane xSplit="2" ySplit="3" topLeftCell="M4" activePane="bottomRight" state="frozen"/>
      <selection pane="topLeft" activeCell="B2" sqref="B2:B3"/>
      <selection pane="topRight" activeCell="B2" sqref="B2:B3"/>
      <selection pane="bottomLeft" activeCell="B2" sqref="B2:B3"/>
      <selection pane="bottomRight" activeCell="A2" sqref="A2:A3"/>
    </sheetView>
  </sheetViews>
  <sheetFormatPr defaultColWidth="9.00390625" defaultRowHeight="12.75" outlineLevelCol="1"/>
  <cols>
    <col min="1" max="1" width="54.125" style="2" customWidth="1"/>
    <col min="2" max="2" width="55.625" style="2" hidden="1" customWidth="1" outlineLevel="1"/>
    <col min="3" max="3" width="7.875" style="3" customWidth="1" collapsed="1"/>
    <col min="4" max="30" width="7.875" style="3" customWidth="1"/>
    <col min="31" max="33" width="8.125" style="3" bestFit="1" customWidth="1"/>
    <col min="34" max="16384" width="8.875" style="3" customWidth="1"/>
  </cols>
  <sheetData>
    <row r="1" spans="1:2" ht="12.75">
      <c r="A1" s="259" t="s">
        <v>585</v>
      </c>
      <c r="B1" s="259" t="s">
        <v>586</v>
      </c>
    </row>
    <row r="2" spans="1:33" ht="12.75">
      <c r="A2" s="343" t="s">
        <v>303</v>
      </c>
      <c r="B2" s="343" t="s">
        <v>98</v>
      </c>
      <c r="C2" s="340">
        <v>2007</v>
      </c>
      <c r="D2" s="341"/>
      <c r="E2" s="341"/>
      <c r="F2" s="341"/>
      <c r="G2" s="340">
        <v>2008</v>
      </c>
      <c r="H2" s="341"/>
      <c r="I2" s="341"/>
      <c r="J2" s="341"/>
      <c r="K2" s="340">
        <v>2009</v>
      </c>
      <c r="L2" s="341"/>
      <c r="M2" s="341"/>
      <c r="N2" s="341"/>
      <c r="O2" s="340">
        <v>2010</v>
      </c>
      <c r="P2" s="341"/>
      <c r="Q2" s="341"/>
      <c r="R2" s="341"/>
      <c r="S2" s="340">
        <v>2011</v>
      </c>
      <c r="T2" s="341"/>
      <c r="U2" s="341"/>
      <c r="V2" s="341"/>
      <c r="W2" s="340">
        <v>2012</v>
      </c>
      <c r="X2" s="341"/>
      <c r="Y2" s="341"/>
      <c r="Z2" s="342"/>
      <c r="AA2" s="340">
        <v>2013</v>
      </c>
      <c r="AB2" s="341"/>
      <c r="AC2" s="341"/>
      <c r="AD2" s="342"/>
      <c r="AE2" s="350">
        <v>2014</v>
      </c>
      <c r="AF2" s="351"/>
      <c r="AG2" s="351"/>
    </row>
    <row r="3" spans="1:33" s="4" customFormat="1" ht="12.75">
      <c r="A3" s="344"/>
      <c r="B3" s="344"/>
      <c r="C3" s="34" t="s">
        <v>180</v>
      </c>
      <c r="D3" s="35" t="s">
        <v>181</v>
      </c>
      <c r="E3" s="35" t="s">
        <v>182</v>
      </c>
      <c r="F3" s="35" t="s">
        <v>183</v>
      </c>
      <c r="G3" s="34" t="s">
        <v>180</v>
      </c>
      <c r="H3" s="35" t="s">
        <v>181</v>
      </c>
      <c r="I3" s="35" t="s">
        <v>182</v>
      </c>
      <c r="J3" s="35" t="s">
        <v>183</v>
      </c>
      <c r="K3" s="34" t="s">
        <v>180</v>
      </c>
      <c r="L3" s="35" t="s">
        <v>181</v>
      </c>
      <c r="M3" s="35" t="s">
        <v>182</v>
      </c>
      <c r="N3" s="35" t="s">
        <v>183</v>
      </c>
      <c r="O3" s="34" t="s">
        <v>180</v>
      </c>
      <c r="P3" s="35" t="s">
        <v>181</v>
      </c>
      <c r="Q3" s="35" t="s">
        <v>182</v>
      </c>
      <c r="R3" s="35" t="s">
        <v>183</v>
      </c>
      <c r="S3" s="34" t="s">
        <v>180</v>
      </c>
      <c r="T3" s="35" t="s">
        <v>181</v>
      </c>
      <c r="U3" s="35" t="s">
        <v>182</v>
      </c>
      <c r="V3" s="35" t="s">
        <v>183</v>
      </c>
      <c r="W3" s="34" t="s">
        <v>180</v>
      </c>
      <c r="X3" s="35" t="s">
        <v>181</v>
      </c>
      <c r="Y3" s="35" t="s">
        <v>182</v>
      </c>
      <c r="Z3" s="36" t="s">
        <v>183</v>
      </c>
      <c r="AA3" s="34" t="s">
        <v>180</v>
      </c>
      <c r="AB3" s="35" t="s">
        <v>181</v>
      </c>
      <c r="AC3" s="35" t="s">
        <v>182</v>
      </c>
      <c r="AD3" s="36" t="s">
        <v>183</v>
      </c>
      <c r="AE3" s="198" t="s">
        <v>180</v>
      </c>
      <c r="AF3" s="198" t="s">
        <v>181</v>
      </c>
      <c r="AG3" s="198" t="s">
        <v>182</v>
      </c>
    </row>
    <row r="4" spans="1:33" s="4" customFormat="1" ht="12.75" customHeight="1">
      <c r="A4" s="20" t="s">
        <v>185</v>
      </c>
      <c r="B4" s="20" t="s">
        <v>12</v>
      </c>
      <c r="C4" s="16"/>
      <c r="D4" s="6"/>
      <c r="E4" s="5"/>
      <c r="F4" s="6"/>
      <c r="G4" s="16"/>
      <c r="H4" s="6"/>
      <c r="I4" s="5"/>
      <c r="J4" s="17"/>
      <c r="K4" s="16"/>
      <c r="L4" s="6"/>
      <c r="M4" s="5"/>
      <c r="N4" s="17"/>
      <c r="O4" s="16"/>
      <c r="P4" s="6"/>
      <c r="Q4" s="5"/>
      <c r="R4" s="17"/>
      <c r="S4" s="16"/>
      <c r="T4" s="6"/>
      <c r="U4" s="5"/>
      <c r="V4" s="17"/>
      <c r="W4" s="16"/>
      <c r="X4" s="5"/>
      <c r="Y4" s="5"/>
      <c r="Z4" s="18"/>
      <c r="AA4" s="16"/>
      <c r="AB4" s="5"/>
      <c r="AC4" s="5"/>
      <c r="AD4" s="18"/>
      <c r="AE4" s="5"/>
      <c r="AF4" s="5"/>
      <c r="AG4" s="5"/>
    </row>
    <row r="5" spans="1:33" s="212" customFormat="1" ht="12">
      <c r="A5" s="8" t="s">
        <v>615</v>
      </c>
      <c r="B5" s="8" t="s">
        <v>603</v>
      </c>
      <c r="C5" s="209">
        <f>SUM(C6:C9)</f>
        <v>14362</v>
      </c>
      <c r="D5" s="210">
        <f aca="true" t="shared" si="0" ref="D5:AC5">SUM(D6:D9)</f>
        <v>15091.300000000001</v>
      </c>
      <c r="E5" s="210">
        <f t="shared" si="0"/>
        <v>15905.499999999998</v>
      </c>
      <c r="F5" s="210">
        <f t="shared" si="0"/>
        <v>16786.899999999998</v>
      </c>
      <c r="G5" s="209">
        <f t="shared" si="0"/>
        <v>18454.1</v>
      </c>
      <c r="H5" s="210">
        <f t="shared" si="0"/>
        <v>19814.300000000003</v>
      </c>
      <c r="I5" s="210">
        <f t="shared" si="0"/>
        <v>22105.7</v>
      </c>
      <c r="J5" s="211">
        <f t="shared" si="0"/>
        <v>24298</v>
      </c>
      <c r="K5" s="209">
        <f t="shared" si="0"/>
        <v>25614.5</v>
      </c>
      <c r="L5" s="210">
        <f t="shared" si="0"/>
        <v>25776.6</v>
      </c>
      <c r="M5" s="210">
        <f t="shared" si="0"/>
        <v>26133.899999999998</v>
      </c>
      <c r="N5" s="211">
        <f t="shared" si="0"/>
        <v>27361.399999999998</v>
      </c>
      <c r="O5" s="209">
        <f t="shared" si="0"/>
        <v>27576.300000000003</v>
      </c>
      <c r="P5" s="210">
        <f t="shared" si="0"/>
        <v>28994.4</v>
      </c>
      <c r="Q5" s="210">
        <f t="shared" si="0"/>
        <v>30667.6</v>
      </c>
      <c r="R5" s="211">
        <f t="shared" si="0"/>
        <v>32178.2</v>
      </c>
      <c r="S5" s="209">
        <f t="shared" si="0"/>
        <v>32988.6</v>
      </c>
      <c r="T5" s="210">
        <f t="shared" si="0"/>
        <v>34754.4</v>
      </c>
      <c r="U5" s="210">
        <f t="shared" si="0"/>
        <v>36919.1</v>
      </c>
      <c r="V5" s="211">
        <f t="shared" si="0"/>
        <v>39466</v>
      </c>
      <c r="W5" s="209">
        <f t="shared" si="0"/>
        <v>45105.9</v>
      </c>
      <c r="X5" s="210">
        <f t="shared" si="0"/>
        <v>45907.49999999999</v>
      </c>
      <c r="Y5" s="210">
        <f t="shared" si="0"/>
        <v>46744.799999999996</v>
      </c>
      <c r="Z5" s="211">
        <f t="shared" si="0"/>
        <v>46509.7</v>
      </c>
      <c r="AA5" s="209">
        <f t="shared" si="0"/>
        <v>46670.200000000004</v>
      </c>
      <c r="AB5" s="210">
        <f t="shared" si="0"/>
        <v>48136.600000000006</v>
      </c>
      <c r="AC5" s="210">
        <f t="shared" si="0"/>
        <v>49764.399999999994</v>
      </c>
      <c r="AD5" s="211">
        <f>SUM(AD6:AD9)</f>
        <v>49982.2</v>
      </c>
      <c r="AE5" s="210">
        <f>SUM(AE6:AE9)</f>
        <v>52346.100000000006</v>
      </c>
      <c r="AF5" s="210">
        <f>SUM(AF6:AF9)</f>
        <v>55099</v>
      </c>
      <c r="AG5" s="210">
        <f>SUM(AG6:AG9)</f>
        <v>57750.700000000004</v>
      </c>
    </row>
    <row r="6" spans="1:33" s="7" customFormat="1" ht="12.75">
      <c r="A6" s="88" t="s">
        <v>616</v>
      </c>
      <c r="B6" s="88" t="s">
        <v>604</v>
      </c>
      <c r="C6" s="39">
        <f>SUM(C28,C43,C51,C74)</f>
        <v>14102.2</v>
      </c>
      <c r="D6" s="40">
        <f aca="true" t="shared" si="1" ref="D6:AD6">SUM(D28,D43,D51,D74)</f>
        <v>14839.2</v>
      </c>
      <c r="E6" s="40">
        <f t="shared" si="1"/>
        <v>15680.999999999998</v>
      </c>
      <c r="F6" s="40">
        <f t="shared" si="1"/>
        <v>16642.399999999998</v>
      </c>
      <c r="G6" s="39">
        <f t="shared" si="1"/>
        <v>18307.5</v>
      </c>
      <c r="H6" s="40">
        <f t="shared" si="1"/>
        <v>19662.9</v>
      </c>
      <c r="I6" s="40">
        <f t="shared" si="1"/>
        <v>21911.9</v>
      </c>
      <c r="J6" s="41">
        <f t="shared" si="1"/>
        <v>23490.5</v>
      </c>
      <c r="K6" s="39">
        <f t="shared" si="1"/>
        <v>24706.100000000002</v>
      </c>
      <c r="L6" s="40">
        <f t="shared" si="1"/>
        <v>24904</v>
      </c>
      <c r="M6" s="40">
        <f t="shared" si="1"/>
        <v>25418.399999999998</v>
      </c>
      <c r="N6" s="41">
        <f t="shared" si="1"/>
        <v>26540.399999999998</v>
      </c>
      <c r="O6" s="39">
        <f t="shared" si="1"/>
        <v>26775.300000000003</v>
      </c>
      <c r="P6" s="40">
        <f t="shared" si="1"/>
        <v>28108.9</v>
      </c>
      <c r="Q6" s="40">
        <f t="shared" si="1"/>
        <v>29478.7</v>
      </c>
      <c r="R6" s="41">
        <f t="shared" si="1"/>
        <v>30875.5</v>
      </c>
      <c r="S6" s="39">
        <f t="shared" si="1"/>
        <v>31757.199999999997</v>
      </c>
      <c r="T6" s="40">
        <f t="shared" si="1"/>
        <v>33487.9</v>
      </c>
      <c r="U6" s="40">
        <f t="shared" si="1"/>
        <v>35278.6</v>
      </c>
      <c r="V6" s="41">
        <f t="shared" si="1"/>
        <v>37103.6</v>
      </c>
      <c r="W6" s="39">
        <f t="shared" si="1"/>
        <v>37990</v>
      </c>
      <c r="X6" s="40">
        <f t="shared" si="1"/>
        <v>38680.299999999996</v>
      </c>
      <c r="Y6" s="40">
        <f t="shared" si="1"/>
        <v>39366.49999999999</v>
      </c>
      <c r="Z6" s="41">
        <f t="shared" si="1"/>
        <v>38898.299999999996</v>
      </c>
      <c r="AA6" s="39">
        <f t="shared" si="1"/>
        <v>39620.3</v>
      </c>
      <c r="AB6" s="40">
        <f t="shared" si="1"/>
        <v>40531.40000000001</v>
      </c>
      <c r="AC6" s="40">
        <f t="shared" si="1"/>
        <v>41697.299999999996</v>
      </c>
      <c r="AD6" s="41">
        <f t="shared" si="1"/>
        <v>41690.3</v>
      </c>
      <c r="AE6" s="40">
        <f>SUM(AE28,AE43,AE51,AE74)</f>
        <v>43906</v>
      </c>
      <c r="AF6" s="40">
        <f>SUM(AF28,AF43,AF51,AF74)</f>
        <v>45983.200000000004</v>
      </c>
      <c r="AG6" s="40">
        <f>SUM(AG28,AG43,AG51,AG74)</f>
        <v>47661.5</v>
      </c>
    </row>
    <row r="7" spans="1:33" s="7" customFormat="1" ht="12.75">
      <c r="A7" s="38" t="s">
        <v>617</v>
      </c>
      <c r="B7" s="38" t="s">
        <v>596</v>
      </c>
      <c r="C7" s="39">
        <f>SUM(C31,C46,C54,C77)</f>
        <v>0</v>
      </c>
      <c r="D7" s="40">
        <f aca="true" t="shared" si="2" ref="D7:AD7">SUM(D31,D46,D54,D77)</f>
        <v>0</v>
      </c>
      <c r="E7" s="40">
        <f t="shared" si="2"/>
        <v>0</v>
      </c>
      <c r="F7" s="40">
        <f t="shared" si="2"/>
        <v>0</v>
      </c>
      <c r="G7" s="39">
        <f t="shared" si="2"/>
        <v>0</v>
      </c>
      <c r="H7" s="40">
        <f t="shared" si="2"/>
        <v>0</v>
      </c>
      <c r="I7" s="40">
        <f t="shared" si="2"/>
        <v>0</v>
      </c>
      <c r="J7" s="41">
        <f t="shared" si="2"/>
        <v>0</v>
      </c>
      <c r="K7" s="39">
        <f t="shared" si="2"/>
        <v>0</v>
      </c>
      <c r="L7" s="40">
        <f t="shared" si="2"/>
        <v>0</v>
      </c>
      <c r="M7" s="40">
        <f t="shared" si="2"/>
        <v>0</v>
      </c>
      <c r="N7" s="41">
        <f t="shared" si="2"/>
        <v>0</v>
      </c>
      <c r="O7" s="39">
        <f t="shared" si="2"/>
        <v>0</v>
      </c>
      <c r="P7" s="40">
        <f t="shared" si="2"/>
        <v>0</v>
      </c>
      <c r="Q7" s="40">
        <f t="shared" si="2"/>
        <v>0</v>
      </c>
      <c r="R7" s="41">
        <f t="shared" si="2"/>
        <v>0</v>
      </c>
      <c r="S7" s="39">
        <f t="shared" si="2"/>
        <v>0</v>
      </c>
      <c r="T7" s="40">
        <f t="shared" si="2"/>
        <v>0</v>
      </c>
      <c r="U7" s="40">
        <f t="shared" si="2"/>
        <v>0</v>
      </c>
      <c r="V7" s="41">
        <f t="shared" si="2"/>
        <v>0</v>
      </c>
      <c r="W7" s="39">
        <f t="shared" si="2"/>
        <v>3108.2999999999997</v>
      </c>
      <c r="X7" s="40">
        <f t="shared" si="2"/>
        <v>3146.2</v>
      </c>
      <c r="Y7" s="40">
        <f t="shared" si="2"/>
        <v>3135.3999999999996</v>
      </c>
      <c r="Z7" s="41">
        <f t="shared" si="2"/>
        <v>3233.9</v>
      </c>
      <c r="AA7" s="39">
        <f t="shared" si="2"/>
        <v>3251.8</v>
      </c>
      <c r="AB7" s="40">
        <f>SUM(AB31,AB46,AB54,AB77)</f>
        <v>3382.4</v>
      </c>
      <c r="AC7" s="40">
        <f t="shared" si="2"/>
        <v>3526.6</v>
      </c>
      <c r="AD7" s="41">
        <f t="shared" si="2"/>
        <v>3650.5</v>
      </c>
      <c r="AE7" s="40">
        <f aca="true" t="shared" si="3" ref="AE7:AG8">SUM(AE31,AE46,AE54,AE77)</f>
        <v>3836.9</v>
      </c>
      <c r="AF7" s="40">
        <f t="shared" si="3"/>
        <v>4226.7</v>
      </c>
      <c r="AG7" s="40">
        <f t="shared" si="3"/>
        <v>4307.8</v>
      </c>
    </row>
    <row r="8" spans="1:33" s="7" customFormat="1" ht="12.75">
      <c r="A8" s="38" t="s">
        <v>618</v>
      </c>
      <c r="B8" s="38" t="s">
        <v>597</v>
      </c>
      <c r="C8" s="39">
        <f>SUM(C32,C47,C55,C78)</f>
        <v>151.3</v>
      </c>
      <c r="D8" s="40">
        <f aca="true" t="shared" si="4" ref="D8:AD8">SUM(D32,D47,D55,D78)</f>
        <v>150.70000000000002</v>
      </c>
      <c r="E8" s="40">
        <f t="shared" si="4"/>
        <v>127.9</v>
      </c>
      <c r="F8" s="40">
        <f t="shared" si="4"/>
        <v>131</v>
      </c>
      <c r="G8" s="39">
        <f t="shared" si="4"/>
        <v>133.1</v>
      </c>
      <c r="H8" s="40">
        <f t="shared" si="4"/>
        <v>137.9</v>
      </c>
      <c r="I8" s="40">
        <f t="shared" si="4"/>
        <v>180.3</v>
      </c>
      <c r="J8" s="41">
        <f t="shared" si="4"/>
        <v>167</v>
      </c>
      <c r="K8" s="39">
        <f t="shared" si="4"/>
        <v>273.59999999999997</v>
      </c>
      <c r="L8" s="40">
        <f t="shared" si="4"/>
        <v>255.5</v>
      </c>
      <c r="M8" s="40">
        <f t="shared" si="4"/>
        <v>178.5</v>
      </c>
      <c r="N8" s="41">
        <f t="shared" si="4"/>
        <v>175.6</v>
      </c>
      <c r="O8" s="39">
        <f t="shared" si="4"/>
        <v>144.60000000000002</v>
      </c>
      <c r="P8" s="40">
        <f t="shared" si="4"/>
        <v>173.6</v>
      </c>
      <c r="Q8" s="40">
        <f t="shared" si="4"/>
        <v>167.3</v>
      </c>
      <c r="R8" s="41">
        <f t="shared" si="4"/>
        <v>124.8</v>
      </c>
      <c r="S8" s="39">
        <f t="shared" si="4"/>
        <v>110.5</v>
      </c>
      <c r="T8" s="40">
        <f t="shared" si="4"/>
        <v>198.6</v>
      </c>
      <c r="U8" s="40">
        <f t="shared" si="4"/>
        <v>283.1</v>
      </c>
      <c r="V8" s="41">
        <f t="shared" si="4"/>
        <v>275.40000000000003</v>
      </c>
      <c r="W8" s="39">
        <f t="shared" si="4"/>
        <v>1860.1000000000001</v>
      </c>
      <c r="X8" s="40">
        <f t="shared" si="4"/>
        <v>2100.3</v>
      </c>
      <c r="Y8" s="40">
        <f t="shared" si="4"/>
        <v>2028.9</v>
      </c>
      <c r="Z8" s="41">
        <f t="shared" si="4"/>
        <v>2212.1</v>
      </c>
      <c r="AA8" s="39">
        <f t="shared" si="4"/>
        <v>1966.5</v>
      </c>
      <c r="AB8" s="40">
        <f t="shared" si="4"/>
        <v>2231.6000000000004</v>
      </c>
      <c r="AC8" s="40">
        <f t="shared" si="4"/>
        <v>2452.1999999999994</v>
      </c>
      <c r="AD8" s="41">
        <f t="shared" si="4"/>
        <v>2465.7</v>
      </c>
      <c r="AE8" s="40">
        <f t="shared" si="3"/>
        <v>2375.2999999999997</v>
      </c>
      <c r="AF8" s="40">
        <f t="shared" si="3"/>
        <v>2638.0000000000005</v>
      </c>
      <c r="AG8" s="40">
        <f t="shared" si="3"/>
        <v>2881.1</v>
      </c>
    </row>
    <row r="9" spans="1:33" s="4" customFormat="1" ht="12.75">
      <c r="A9" s="88" t="s">
        <v>619</v>
      </c>
      <c r="B9" s="88" t="s">
        <v>605</v>
      </c>
      <c r="C9" s="39">
        <f>SUM(C48,C79)</f>
        <v>108.5</v>
      </c>
      <c r="D9" s="40">
        <f aca="true" t="shared" si="5" ref="D9:AD9">SUM(D48,D79)</f>
        <v>101.4</v>
      </c>
      <c r="E9" s="40">
        <f t="shared" si="5"/>
        <v>96.6</v>
      </c>
      <c r="F9" s="40">
        <f t="shared" si="5"/>
        <v>13.5</v>
      </c>
      <c r="G9" s="39">
        <f t="shared" si="5"/>
        <v>13.5</v>
      </c>
      <c r="H9" s="40">
        <f t="shared" si="5"/>
        <v>13.5</v>
      </c>
      <c r="I9" s="40">
        <f t="shared" si="5"/>
        <v>13.5</v>
      </c>
      <c r="J9" s="41">
        <f t="shared" si="5"/>
        <v>640.4999999999999</v>
      </c>
      <c r="K9" s="39">
        <f t="shared" si="5"/>
        <v>634.8</v>
      </c>
      <c r="L9" s="40">
        <f t="shared" si="5"/>
        <v>617.0999999999999</v>
      </c>
      <c r="M9" s="40">
        <f t="shared" si="5"/>
        <v>537</v>
      </c>
      <c r="N9" s="41">
        <f t="shared" si="5"/>
        <v>645.4000000000001</v>
      </c>
      <c r="O9" s="39">
        <f t="shared" si="5"/>
        <v>656.3999999999999</v>
      </c>
      <c r="P9" s="40">
        <f t="shared" si="5"/>
        <v>711.9000000000003</v>
      </c>
      <c r="Q9" s="40">
        <f t="shared" si="5"/>
        <v>1021.5999999999999</v>
      </c>
      <c r="R9" s="41">
        <f t="shared" si="5"/>
        <v>1177.9</v>
      </c>
      <c r="S9" s="39">
        <f t="shared" si="5"/>
        <v>1120.8999999999999</v>
      </c>
      <c r="T9" s="40">
        <f t="shared" si="5"/>
        <v>1067.9</v>
      </c>
      <c r="U9" s="40">
        <f t="shared" si="5"/>
        <v>1357.4000000000003</v>
      </c>
      <c r="V9" s="41">
        <f t="shared" si="5"/>
        <v>2087</v>
      </c>
      <c r="W9" s="39">
        <f t="shared" si="5"/>
        <v>2147.5</v>
      </c>
      <c r="X9" s="40">
        <f t="shared" si="5"/>
        <v>1980.7000000000003</v>
      </c>
      <c r="Y9" s="40">
        <f t="shared" si="5"/>
        <v>2214</v>
      </c>
      <c r="Z9" s="41">
        <f t="shared" si="5"/>
        <v>2165.4000000000005</v>
      </c>
      <c r="AA9" s="39">
        <f t="shared" si="5"/>
        <v>1831.6000000000001</v>
      </c>
      <c r="AB9" s="40">
        <f t="shared" si="5"/>
        <v>1991.1999999999998</v>
      </c>
      <c r="AC9" s="40">
        <f t="shared" si="5"/>
        <v>2088.3</v>
      </c>
      <c r="AD9" s="41">
        <f t="shared" si="5"/>
        <v>2175.7</v>
      </c>
      <c r="AE9" s="40">
        <f>SUM(AE48,AE79)</f>
        <v>2227.9</v>
      </c>
      <c r="AF9" s="40">
        <f>SUM(AF48,AF79)</f>
        <v>2251.1</v>
      </c>
      <c r="AG9" s="40">
        <f>SUM(AG48,AG79)</f>
        <v>2900.3</v>
      </c>
    </row>
    <row r="10" spans="1:33" s="9" customFormat="1" ht="12.75">
      <c r="A10" s="89" t="s">
        <v>620</v>
      </c>
      <c r="B10" s="89" t="s">
        <v>606</v>
      </c>
      <c r="C10" s="46">
        <f>SUM(C11:C12)</f>
        <v>95.1</v>
      </c>
      <c r="D10" s="47">
        <f aca="true" t="shared" si="6" ref="D10:AD10">SUM(D11:D12)</f>
        <v>103.9</v>
      </c>
      <c r="E10" s="47">
        <f t="shared" si="6"/>
        <v>101</v>
      </c>
      <c r="F10" s="47">
        <f t="shared" si="6"/>
        <v>153.6</v>
      </c>
      <c r="G10" s="46">
        <f t="shared" si="6"/>
        <v>159.1</v>
      </c>
      <c r="H10" s="47">
        <f t="shared" si="6"/>
        <v>158.5</v>
      </c>
      <c r="I10" s="47">
        <f t="shared" si="6"/>
        <v>224.10000000000002</v>
      </c>
      <c r="J10" s="48">
        <f t="shared" si="6"/>
        <v>1788.9</v>
      </c>
      <c r="K10" s="46">
        <f t="shared" si="6"/>
        <v>3930.2</v>
      </c>
      <c r="L10" s="47">
        <f t="shared" si="6"/>
        <v>3602.4</v>
      </c>
      <c r="M10" s="47">
        <f t="shared" si="6"/>
        <v>3511.3</v>
      </c>
      <c r="N10" s="48">
        <f t="shared" si="6"/>
        <v>3486</v>
      </c>
      <c r="O10" s="46">
        <f t="shared" si="6"/>
        <v>3331.8</v>
      </c>
      <c r="P10" s="47">
        <f t="shared" si="6"/>
        <v>3635.2999999999997</v>
      </c>
      <c r="Q10" s="47">
        <f t="shared" si="6"/>
        <v>3604.5</v>
      </c>
      <c r="R10" s="48">
        <f t="shared" si="6"/>
        <v>3416.2</v>
      </c>
      <c r="S10" s="46">
        <f t="shared" si="6"/>
        <v>3429.9</v>
      </c>
      <c r="T10" s="47">
        <f t="shared" si="6"/>
        <v>3401.9</v>
      </c>
      <c r="U10" s="47">
        <f t="shared" si="6"/>
        <v>3965</v>
      </c>
      <c r="V10" s="48">
        <f t="shared" si="6"/>
        <v>3977.7</v>
      </c>
      <c r="W10" s="46">
        <f t="shared" si="6"/>
        <v>3808.1</v>
      </c>
      <c r="X10" s="47">
        <f t="shared" si="6"/>
        <v>3874.8999999999996</v>
      </c>
      <c r="Y10" s="47">
        <f t="shared" si="6"/>
        <v>3890.2</v>
      </c>
      <c r="Z10" s="48">
        <f t="shared" si="6"/>
        <v>3904.7999999999997</v>
      </c>
      <c r="AA10" s="46">
        <f t="shared" si="6"/>
        <v>3923.2999999999997</v>
      </c>
      <c r="AB10" s="47">
        <f t="shared" si="6"/>
        <v>3910.6000000000004</v>
      </c>
      <c r="AC10" s="47">
        <f t="shared" si="6"/>
        <v>3838.9</v>
      </c>
      <c r="AD10" s="48">
        <f t="shared" si="6"/>
        <v>3815.3</v>
      </c>
      <c r="AE10" s="47">
        <f>SUM(AE11:AE12)</f>
        <v>3894.8999999999996</v>
      </c>
      <c r="AF10" s="47">
        <f>SUM(AF11:AF12)</f>
        <v>3837.4</v>
      </c>
      <c r="AG10" s="47">
        <f>SUM(AG11:AG12)</f>
        <v>4135</v>
      </c>
    </row>
    <row r="11" spans="1:33" s="4" customFormat="1" ht="12.75">
      <c r="A11" s="88" t="s">
        <v>621</v>
      </c>
      <c r="B11" s="88" t="s">
        <v>607</v>
      </c>
      <c r="C11" s="39">
        <f>SUM(C80)</f>
        <v>0</v>
      </c>
      <c r="D11" s="40">
        <f aca="true" t="shared" si="7" ref="D11:AD11">SUM(D80)</f>
        <v>0</v>
      </c>
      <c r="E11" s="40">
        <f t="shared" si="7"/>
        <v>0</v>
      </c>
      <c r="F11" s="40">
        <f t="shared" si="7"/>
        <v>0</v>
      </c>
      <c r="G11" s="39">
        <f t="shared" si="7"/>
        <v>0</v>
      </c>
      <c r="H11" s="40">
        <f t="shared" si="7"/>
        <v>0</v>
      </c>
      <c r="I11" s="40">
        <f t="shared" si="7"/>
        <v>0</v>
      </c>
      <c r="J11" s="41">
        <f t="shared" si="7"/>
        <v>1654</v>
      </c>
      <c r="K11" s="39">
        <f t="shared" si="7"/>
        <v>3775.2</v>
      </c>
      <c r="L11" s="40">
        <f t="shared" si="7"/>
        <v>3439.1</v>
      </c>
      <c r="M11" s="40">
        <f t="shared" si="7"/>
        <v>3348.9</v>
      </c>
      <c r="N11" s="41">
        <f t="shared" si="7"/>
        <v>3261.9</v>
      </c>
      <c r="O11" s="39">
        <f t="shared" si="7"/>
        <v>3147.9</v>
      </c>
      <c r="P11" s="40">
        <f t="shared" si="7"/>
        <v>3447.7</v>
      </c>
      <c r="Q11" s="40">
        <f t="shared" si="7"/>
        <v>3425.1</v>
      </c>
      <c r="R11" s="41">
        <f t="shared" si="7"/>
        <v>3268.5</v>
      </c>
      <c r="S11" s="39">
        <f t="shared" si="7"/>
        <v>3215.6</v>
      </c>
      <c r="T11" s="40">
        <f t="shared" si="7"/>
        <v>3189</v>
      </c>
      <c r="U11" s="40">
        <f t="shared" si="7"/>
        <v>3786.2</v>
      </c>
      <c r="V11" s="41">
        <f t="shared" si="7"/>
        <v>3872.6</v>
      </c>
      <c r="W11" s="39">
        <f t="shared" si="7"/>
        <v>3680.7</v>
      </c>
      <c r="X11" s="40">
        <f t="shared" si="7"/>
        <v>3758.2</v>
      </c>
      <c r="Y11" s="40">
        <f t="shared" si="7"/>
        <v>3732.5</v>
      </c>
      <c r="Z11" s="41">
        <f t="shared" si="7"/>
        <v>3779.7</v>
      </c>
      <c r="AA11" s="39">
        <f t="shared" si="7"/>
        <v>3817.7</v>
      </c>
      <c r="AB11" s="40">
        <f t="shared" si="7"/>
        <v>3794.3</v>
      </c>
      <c r="AC11" s="40">
        <f t="shared" si="7"/>
        <v>3723.1</v>
      </c>
      <c r="AD11" s="41">
        <f t="shared" si="7"/>
        <v>3685.8</v>
      </c>
      <c r="AE11" s="40">
        <f>SUM(AE80)</f>
        <v>3750.2</v>
      </c>
      <c r="AF11" s="40">
        <f>SUM(AF80)</f>
        <v>3723.5</v>
      </c>
      <c r="AG11" s="40">
        <f>SUM(AG80)</f>
        <v>3800.5</v>
      </c>
    </row>
    <row r="12" spans="1:33" s="9" customFormat="1" ht="12.75">
      <c r="A12" s="90" t="s">
        <v>622</v>
      </c>
      <c r="B12" s="90" t="s">
        <v>599</v>
      </c>
      <c r="C12" s="39">
        <f>SUM(C33,C49,C56,C81)</f>
        <v>95.1</v>
      </c>
      <c r="D12" s="40">
        <f aca="true" t="shared" si="8" ref="D12:AD12">SUM(D33,D49,D56,D81)</f>
        <v>103.9</v>
      </c>
      <c r="E12" s="40">
        <f t="shared" si="8"/>
        <v>101</v>
      </c>
      <c r="F12" s="40">
        <f t="shared" si="8"/>
        <v>153.6</v>
      </c>
      <c r="G12" s="39">
        <f t="shared" si="8"/>
        <v>159.1</v>
      </c>
      <c r="H12" s="40">
        <f t="shared" si="8"/>
        <v>158.5</v>
      </c>
      <c r="I12" s="40">
        <f t="shared" si="8"/>
        <v>224.10000000000002</v>
      </c>
      <c r="J12" s="41">
        <f t="shared" si="8"/>
        <v>134.9</v>
      </c>
      <c r="K12" s="39">
        <f t="shared" si="8"/>
        <v>155</v>
      </c>
      <c r="L12" s="40">
        <f t="shared" si="8"/>
        <v>163.29999999999998</v>
      </c>
      <c r="M12" s="40">
        <f t="shared" si="8"/>
        <v>162.4</v>
      </c>
      <c r="N12" s="41">
        <f t="shared" si="8"/>
        <v>224.10000000000002</v>
      </c>
      <c r="O12" s="39">
        <f t="shared" si="8"/>
        <v>183.9</v>
      </c>
      <c r="P12" s="40">
        <f t="shared" si="8"/>
        <v>187.6</v>
      </c>
      <c r="Q12" s="40">
        <f t="shared" si="8"/>
        <v>179.39999999999998</v>
      </c>
      <c r="R12" s="41">
        <f t="shared" si="8"/>
        <v>147.7</v>
      </c>
      <c r="S12" s="39">
        <f t="shared" si="8"/>
        <v>214.29999999999998</v>
      </c>
      <c r="T12" s="40">
        <f t="shared" si="8"/>
        <v>212.90000000000003</v>
      </c>
      <c r="U12" s="40">
        <f t="shared" si="8"/>
        <v>178.79999999999998</v>
      </c>
      <c r="V12" s="41">
        <f t="shared" si="8"/>
        <v>105.1</v>
      </c>
      <c r="W12" s="39">
        <f t="shared" si="8"/>
        <v>127.4</v>
      </c>
      <c r="X12" s="40">
        <f t="shared" si="8"/>
        <v>116.7</v>
      </c>
      <c r="Y12" s="40">
        <f t="shared" si="8"/>
        <v>157.7</v>
      </c>
      <c r="Z12" s="41">
        <f t="shared" si="8"/>
        <v>125.10000000000001</v>
      </c>
      <c r="AA12" s="39">
        <f t="shared" si="8"/>
        <v>105.6</v>
      </c>
      <c r="AB12" s="40">
        <f t="shared" si="8"/>
        <v>116.3</v>
      </c>
      <c r="AC12" s="40">
        <f t="shared" si="8"/>
        <v>115.8</v>
      </c>
      <c r="AD12" s="41">
        <f t="shared" si="8"/>
        <v>129.5</v>
      </c>
      <c r="AE12" s="40">
        <f>SUM(AE33,AE49,AE56,AE81)</f>
        <v>144.70000000000002</v>
      </c>
      <c r="AF12" s="40">
        <f>SUM(AF33,AF49,AF56,AF81)</f>
        <v>113.9</v>
      </c>
      <c r="AG12" s="40">
        <f>SUM(AG33,AG49,AG56,AG81)</f>
        <v>334.5</v>
      </c>
    </row>
    <row r="13" spans="1:33" s="212" customFormat="1" ht="12">
      <c r="A13" s="8" t="s">
        <v>307</v>
      </c>
      <c r="B13" s="8" t="s">
        <v>102</v>
      </c>
      <c r="C13" s="209">
        <f>SUM(C5,C10)</f>
        <v>14457.1</v>
      </c>
      <c r="D13" s="210">
        <f aca="true" t="shared" si="9" ref="D13:AD13">SUM(D5,D10)</f>
        <v>15195.2</v>
      </c>
      <c r="E13" s="210">
        <f t="shared" si="9"/>
        <v>16006.499999999998</v>
      </c>
      <c r="F13" s="210">
        <f t="shared" si="9"/>
        <v>16940.499999999996</v>
      </c>
      <c r="G13" s="209">
        <f t="shared" si="9"/>
        <v>18613.199999999997</v>
      </c>
      <c r="H13" s="210">
        <f t="shared" si="9"/>
        <v>19972.800000000003</v>
      </c>
      <c r="I13" s="210">
        <f t="shared" si="9"/>
        <v>22329.8</v>
      </c>
      <c r="J13" s="211">
        <f t="shared" si="9"/>
        <v>26086.9</v>
      </c>
      <c r="K13" s="209">
        <f t="shared" si="9"/>
        <v>29544.7</v>
      </c>
      <c r="L13" s="210">
        <f t="shared" si="9"/>
        <v>29379</v>
      </c>
      <c r="M13" s="210">
        <f t="shared" si="9"/>
        <v>29645.199999999997</v>
      </c>
      <c r="N13" s="211">
        <f t="shared" si="9"/>
        <v>30847.399999999998</v>
      </c>
      <c r="O13" s="209">
        <f t="shared" si="9"/>
        <v>30908.100000000002</v>
      </c>
      <c r="P13" s="210">
        <f t="shared" si="9"/>
        <v>32629.7</v>
      </c>
      <c r="Q13" s="210">
        <f t="shared" si="9"/>
        <v>34272.1</v>
      </c>
      <c r="R13" s="211">
        <f t="shared" si="9"/>
        <v>35594.4</v>
      </c>
      <c r="S13" s="209">
        <f t="shared" si="9"/>
        <v>36418.5</v>
      </c>
      <c r="T13" s="210">
        <f t="shared" si="9"/>
        <v>38156.3</v>
      </c>
      <c r="U13" s="210">
        <f t="shared" si="9"/>
        <v>40884.1</v>
      </c>
      <c r="V13" s="211">
        <f t="shared" si="9"/>
        <v>43443.7</v>
      </c>
      <c r="W13" s="209">
        <f t="shared" si="9"/>
        <v>48914</v>
      </c>
      <c r="X13" s="210">
        <f t="shared" si="9"/>
        <v>49782.399999999994</v>
      </c>
      <c r="Y13" s="210">
        <f>SUM(Y5,Y10)</f>
        <v>50634.99999999999</v>
      </c>
      <c r="Z13" s="211">
        <f t="shared" si="9"/>
        <v>50414.5</v>
      </c>
      <c r="AA13" s="209">
        <f t="shared" si="9"/>
        <v>50593.50000000001</v>
      </c>
      <c r="AB13" s="210">
        <f t="shared" si="9"/>
        <v>52047.200000000004</v>
      </c>
      <c r="AC13" s="210">
        <f t="shared" si="9"/>
        <v>53603.299999999996</v>
      </c>
      <c r="AD13" s="211">
        <f t="shared" si="9"/>
        <v>53797.5</v>
      </c>
      <c r="AE13" s="210">
        <f>SUM(AE5,AE10)</f>
        <v>56241.00000000001</v>
      </c>
      <c r="AF13" s="210">
        <f>SUM(AF5,AF10)</f>
        <v>58936.4</v>
      </c>
      <c r="AG13" s="210">
        <f>SUM(AG5,AG10)</f>
        <v>61885.700000000004</v>
      </c>
    </row>
    <row r="14" spans="1:33" s="9" customFormat="1" ht="12.75">
      <c r="A14" s="88" t="s">
        <v>308</v>
      </c>
      <c r="B14" s="88" t="s">
        <v>103</v>
      </c>
      <c r="C14" s="39">
        <f>SUM(C15,C20)</f>
        <v>-674.5000000000001</v>
      </c>
      <c r="D14" s="40">
        <f aca="true" t="shared" si="10" ref="D14:AD14">SUM(D15,D20)</f>
        <v>-628.0000000000001</v>
      </c>
      <c r="E14" s="40">
        <f t="shared" si="10"/>
        <v>-557.0999999999999</v>
      </c>
      <c r="F14" s="40">
        <f t="shared" si="10"/>
        <v>-561.4000000000001</v>
      </c>
      <c r="G14" s="39">
        <f t="shared" si="10"/>
        <v>-573.3</v>
      </c>
      <c r="H14" s="40">
        <f t="shared" si="10"/>
        <v>-403.4</v>
      </c>
      <c r="I14" s="40">
        <f t="shared" si="10"/>
        <v>-414.00000000000006</v>
      </c>
      <c r="J14" s="41">
        <f t="shared" si="10"/>
        <v>-502.2</v>
      </c>
      <c r="K14" s="39">
        <f t="shared" si="10"/>
        <v>-673.4000000000001</v>
      </c>
      <c r="L14" s="40">
        <f t="shared" si="10"/>
        <v>-765.0999999999999</v>
      </c>
      <c r="M14" s="40">
        <f t="shared" si="10"/>
        <v>-810</v>
      </c>
      <c r="N14" s="41">
        <f t="shared" si="10"/>
        <v>-881.3</v>
      </c>
      <c r="O14" s="39">
        <f t="shared" si="10"/>
        <v>-934.8000000000001</v>
      </c>
      <c r="P14" s="40">
        <f t="shared" si="10"/>
        <v>-976.6000000000001</v>
      </c>
      <c r="Q14" s="40">
        <f t="shared" si="10"/>
        <v>-1042.3</v>
      </c>
      <c r="R14" s="41">
        <f t="shared" si="10"/>
        <v>-1085.4</v>
      </c>
      <c r="S14" s="39">
        <f t="shared" si="10"/>
        <v>-1125.6</v>
      </c>
      <c r="T14" s="40">
        <f t="shared" si="10"/>
        <v>-1142.2</v>
      </c>
      <c r="U14" s="40">
        <f t="shared" si="10"/>
        <v>-1184.5</v>
      </c>
      <c r="V14" s="41">
        <f t="shared" si="10"/>
        <v>-1114</v>
      </c>
      <c r="W14" s="39">
        <f t="shared" si="10"/>
        <v>-1196.7</v>
      </c>
      <c r="X14" s="40">
        <f t="shared" si="10"/>
        <v>-1291.8</v>
      </c>
      <c r="Y14" s="40">
        <f t="shared" si="10"/>
        <v>-1359.9</v>
      </c>
      <c r="Z14" s="41">
        <f t="shared" si="10"/>
        <v>-1429.2000000000003</v>
      </c>
      <c r="AA14" s="39">
        <f t="shared" si="10"/>
        <v>-1474.2000000000003</v>
      </c>
      <c r="AB14" s="40">
        <f t="shared" si="10"/>
        <v>-1574.6999999999998</v>
      </c>
      <c r="AC14" s="40">
        <f t="shared" si="10"/>
        <v>-1498.1000000000001</v>
      </c>
      <c r="AD14" s="41">
        <f t="shared" si="10"/>
        <v>-1559.6000000000001</v>
      </c>
      <c r="AE14" s="40">
        <f>SUM(AE15,AE20)</f>
        <v>-1643.9</v>
      </c>
      <c r="AF14" s="40">
        <f>SUM(AF15,AF20)</f>
        <v>-1617.4</v>
      </c>
      <c r="AG14" s="40">
        <f>SUM(AG15,AG20)</f>
        <v>-1666.7000000000003</v>
      </c>
    </row>
    <row r="15" spans="1:33" s="9" customFormat="1" ht="12.75">
      <c r="A15" s="88" t="s">
        <v>623</v>
      </c>
      <c r="B15" s="88" t="s">
        <v>608</v>
      </c>
      <c r="C15" s="39">
        <f>SUM(C16:C19)</f>
        <v>-665.9000000000001</v>
      </c>
      <c r="D15" s="40">
        <f aca="true" t="shared" si="11" ref="D15:AD15">SUM(D16:D19)</f>
        <v>-619.4000000000001</v>
      </c>
      <c r="E15" s="40">
        <f t="shared" si="11"/>
        <v>-548.4999999999999</v>
      </c>
      <c r="F15" s="40">
        <f t="shared" si="11"/>
        <v>-552.8000000000001</v>
      </c>
      <c r="G15" s="39">
        <f t="shared" si="11"/>
        <v>-564.6999999999999</v>
      </c>
      <c r="H15" s="40">
        <f t="shared" si="11"/>
        <v>-394.79999999999995</v>
      </c>
      <c r="I15" s="40">
        <f t="shared" si="11"/>
        <v>-405.40000000000003</v>
      </c>
      <c r="J15" s="41">
        <f t="shared" si="11"/>
        <v>-493.59999999999997</v>
      </c>
      <c r="K15" s="39">
        <f t="shared" si="11"/>
        <v>-664.8000000000001</v>
      </c>
      <c r="L15" s="40">
        <f t="shared" si="11"/>
        <v>-756.4999999999999</v>
      </c>
      <c r="M15" s="40">
        <f t="shared" si="11"/>
        <v>-801.4</v>
      </c>
      <c r="N15" s="41">
        <f t="shared" si="11"/>
        <v>-872.6999999999999</v>
      </c>
      <c r="O15" s="39">
        <f t="shared" si="11"/>
        <v>-926.2</v>
      </c>
      <c r="P15" s="40">
        <f t="shared" si="11"/>
        <v>-968.0000000000001</v>
      </c>
      <c r="Q15" s="40">
        <f t="shared" si="11"/>
        <v>-1037.1</v>
      </c>
      <c r="R15" s="41">
        <f t="shared" si="11"/>
        <v>-1080.2</v>
      </c>
      <c r="S15" s="39">
        <f t="shared" si="11"/>
        <v>-1120.3999999999999</v>
      </c>
      <c r="T15" s="40">
        <f t="shared" si="11"/>
        <v>-1137</v>
      </c>
      <c r="U15" s="40">
        <f t="shared" si="11"/>
        <v>-1179.3</v>
      </c>
      <c r="V15" s="41">
        <f t="shared" si="11"/>
        <v>-1108.8</v>
      </c>
      <c r="W15" s="39">
        <f t="shared" si="11"/>
        <v>-1191.6000000000001</v>
      </c>
      <c r="X15" s="40">
        <f t="shared" si="11"/>
        <v>-1286.6</v>
      </c>
      <c r="Y15" s="40">
        <f t="shared" si="11"/>
        <v>-1354.7</v>
      </c>
      <c r="Z15" s="41">
        <f t="shared" si="11"/>
        <v>-1424.0000000000002</v>
      </c>
      <c r="AA15" s="39">
        <f t="shared" si="11"/>
        <v>-1469.0000000000002</v>
      </c>
      <c r="AB15" s="40">
        <f t="shared" si="11"/>
        <v>-1569.4999999999998</v>
      </c>
      <c r="AC15" s="40">
        <f t="shared" si="11"/>
        <v>-1492.9</v>
      </c>
      <c r="AD15" s="41">
        <f t="shared" si="11"/>
        <v>-1554.4</v>
      </c>
      <c r="AE15" s="40">
        <f>SUM(AE16:AE19)</f>
        <v>-1638.7</v>
      </c>
      <c r="AF15" s="40">
        <f>SUM(AF16:AF19)</f>
        <v>-1612.2</v>
      </c>
      <c r="AG15" s="40">
        <f>SUM(AG16:AG19)</f>
        <v>-1661.5000000000002</v>
      </c>
    </row>
    <row r="16" spans="1:33" s="66" customFormat="1" ht="12.75">
      <c r="A16" s="106" t="s">
        <v>624</v>
      </c>
      <c r="B16" s="106" t="s">
        <v>609</v>
      </c>
      <c r="C16" s="57">
        <f>SUM(C36,C60,C66,C84)</f>
        <v>-648.3000000000001</v>
      </c>
      <c r="D16" s="58">
        <f aca="true" t="shared" si="12" ref="D16:AD16">SUM(D36,D60,D66,D84)</f>
        <v>-602.3000000000001</v>
      </c>
      <c r="E16" s="58">
        <f t="shared" si="12"/>
        <v>-532.1999999999999</v>
      </c>
      <c r="F16" s="58">
        <f t="shared" si="12"/>
        <v>-536.9000000000001</v>
      </c>
      <c r="G16" s="57">
        <f t="shared" si="12"/>
        <v>-548.5999999999999</v>
      </c>
      <c r="H16" s="58">
        <f t="shared" si="12"/>
        <v>-392.79999999999995</v>
      </c>
      <c r="I16" s="58">
        <f t="shared" si="12"/>
        <v>-403.3</v>
      </c>
      <c r="J16" s="59">
        <f t="shared" si="12"/>
        <v>-491.2</v>
      </c>
      <c r="K16" s="57">
        <f t="shared" si="12"/>
        <v>-661.3000000000001</v>
      </c>
      <c r="L16" s="58">
        <f t="shared" si="12"/>
        <v>-753.1999999999999</v>
      </c>
      <c r="M16" s="58">
        <f t="shared" si="12"/>
        <v>-797.6</v>
      </c>
      <c r="N16" s="59">
        <f t="shared" si="12"/>
        <v>-868.1999999999999</v>
      </c>
      <c r="O16" s="57">
        <f t="shared" si="12"/>
        <v>-920.7</v>
      </c>
      <c r="P16" s="58">
        <f t="shared" si="12"/>
        <v>-962.2000000000002</v>
      </c>
      <c r="Q16" s="58">
        <f t="shared" si="12"/>
        <v>-1031.7</v>
      </c>
      <c r="R16" s="59">
        <f t="shared" si="12"/>
        <v>-1077.9</v>
      </c>
      <c r="S16" s="57">
        <f t="shared" si="12"/>
        <v>-1118.1</v>
      </c>
      <c r="T16" s="58">
        <f t="shared" si="12"/>
        <v>-1134.5</v>
      </c>
      <c r="U16" s="58">
        <f t="shared" si="12"/>
        <v>-1175.8</v>
      </c>
      <c r="V16" s="59">
        <f t="shared" si="12"/>
        <v>-1105.6</v>
      </c>
      <c r="W16" s="57">
        <f t="shared" si="12"/>
        <v>-1121.1000000000001</v>
      </c>
      <c r="X16" s="58">
        <f t="shared" si="12"/>
        <v>-1186.4</v>
      </c>
      <c r="Y16" s="58">
        <f t="shared" si="12"/>
        <v>-1233.7</v>
      </c>
      <c r="Z16" s="59">
        <f t="shared" si="12"/>
        <v>-1287.4</v>
      </c>
      <c r="AA16" s="57">
        <f t="shared" si="12"/>
        <v>-1338.4</v>
      </c>
      <c r="AB16" s="58">
        <f t="shared" si="12"/>
        <v>-1437.1</v>
      </c>
      <c r="AC16" s="58">
        <f t="shared" si="12"/>
        <v>-1360.1</v>
      </c>
      <c r="AD16" s="59">
        <f t="shared" si="12"/>
        <v>-1482.8</v>
      </c>
      <c r="AE16" s="58">
        <f>SUM(AE36,AE60,AE66,AE84)</f>
        <v>-1562.0000000000002</v>
      </c>
      <c r="AF16" s="58">
        <f>SUM(AF36,AF60,AF66,AF84)</f>
        <v>-1530.6000000000001</v>
      </c>
      <c r="AG16" s="58">
        <f>SUM(AG36,AG60,AG66,AG84)</f>
        <v>-1585.4</v>
      </c>
    </row>
    <row r="17" spans="1:33" s="66" customFormat="1" ht="12.75">
      <c r="A17" s="106" t="s">
        <v>625</v>
      </c>
      <c r="B17" s="106" t="s">
        <v>610</v>
      </c>
      <c r="C17" s="57">
        <f>SUM(C61,C67)</f>
        <v>0</v>
      </c>
      <c r="D17" s="58">
        <f aca="true" t="shared" si="13" ref="D17:AD17">SUM(D61,D67)</f>
        <v>0</v>
      </c>
      <c r="E17" s="58">
        <f t="shared" si="13"/>
        <v>0</v>
      </c>
      <c r="F17" s="58">
        <f t="shared" si="13"/>
        <v>0</v>
      </c>
      <c r="G17" s="57">
        <f t="shared" si="13"/>
        <v>0</v>
      </c>
      <c r="H17" s="58">
        <f t="shared" si="13"/>
        <v>0</v>
      </c>
      <c r="I17" s="58">
        <f t="shared" si="13"/>
        <v>0</v>
      </c>
      <c r="J17" s="59">
        <f t="shared" si="13"/>
        <v>0</v>
      </c>
      <c r="K17" s="57">
        <f t="shared" si="13"/>
        <v>0</v>
      </c>
      <c r="L17" s="58">
        <f t="shared" si="13"/>
        <v>0</v>
      </c>
      <c r="M17" s="58">
        <f t="shared" si="13"/>
        <v>0</v>
      </c>
      <c r="N17" s="59">
        <f t="shared" si="13"/>
        <v>0</v>
      </c>
      <c r="O17" s="57">
        <f t="shared" si="13"/>
        <v>0</v>
      </c>
      <c r="P17" s="58">
        <f t="shared" si="13"/>
        <v>0</v>
      </c>
      <c r="Q17" s="58">
        <f t="shared" si="13"/>
        <v>0</v>
      </c>
      <c r="R17" s="59">
        <f t="shared" si="13"/>
        <v>0</v>
      </c>
      <c r="S17" s="57">
        <f t="shared" si="13"/>
        <v>0</v>
      </c>
      <c r="T17" s="58">
        <f t="shared" si="13"/>
        <v>0</v>
      </c>
      <c r="U17" s="58">
        <f t="shared" si="13"/>
        <v>0</v>
      </c>
      <c r="V17" s="59">
        <f t="shared" si="13"/>
        <v>0</v>
      </c>
      <c r="W17" s="57">
        <f t="shared" si="13"/>
        <v>-62.7</v>
      </c>
      <c r="X17" s="58">
        <f t="shared" si="13"/>
        <v>-61.800000000000004</v>
      </c>
      <c r="Y17" s="58">
        <f t="shared" si="13"/>
        <v>-68.2</v>
      </c>
      <c r="Z17" s="59">
        <f t="shared" si="13"/>
        <v>-69.39999999999999</v>
      </c>
      <c r="AA17" s="57">
        <f t="shared" si="13"/>
        <v>-63.400000000000006</v>
      </c>
      <c r="AB17" s="58">
        <f t="shared" si="13"/>
        <v>-60</v>
      </c>
      <c r="AC17" s="58">
        <f t="shared" si="13"/>
        <v>-54.4</v>
      </c>
      <c r="AD17" s="59">
        <f t="shared" si="13"/>
        <v>-59.7</v>
      </c>
      <c r="AE17" s="58">
        <f>SUM(AE61,AE67)</f>
        <v>-62.6</v>
      </c>
      <c r="AF17" s="58">
        <f>SUM(AF61,AF67)</f>
        <v>-64.6</v>
      </c>
      <c r="AG17" s="58">
        <f>SUM(AG61,AG67)</f>
        <v>-63.7</v>
      </c>
    </row>
    <row r="18" spans="1:33" s="66" customFormat="1" ht="12.75">
      <c r="A18" s="106" t="s">
        <v>626</v>
      </c>
      <c r="B18" s="106" t="s">
        <v>611</v>
      </c>
      <c r="C18" s="57">
        <f>SUM(C62,C68,C85)</f>
        <v>-2.5999999999999996</v>
      </c>
      <c r="D18" s="58">
        <f aca="true" t="shared" si="14" ref="D18:AD18">SUM(D62,D68,D85)</f>
        <v>-2.5999999999999996</v>
      </c>
      <c r="E18" s="58">
        <f t="shared" si="14"/>
        <v>-2.4</v>
      </c>
      <c r="F18" s="58">
        <f t="shared" si="14"/>
        <v>-2.4000000000000004</v>
      </c>
      <c r="G18" s="57">
        <f t="shared" si="14"/>
        <v>-2.6</v>
      </c>
      <c r="H18" s="58">
        <f t="shared" si="14"/>
        <v>-1.9</v>
      </c>
      <c r="I18" s="58">
        <f t="shared" si="14"/>
        <v>-2.1</v>
      </c>
      <c r="J18" s="59">
        <f t="shared" si="14"/>
        <v>-2.4</v>
      </c>
      <c r="K18" s="57">
        <f t="shared" si="14"/>
        <v>-3.5</v>
      </c>
      <c r="L18" s="58">
        <f t="shared" si="14"/>
        <v>-2.8</v>
      </c>
      <c r="M18" s="58">
        <f t="shared" si="14"/>
        <v>-2.9</v>
      </c>
      <c r="N18" s="59">
        <f t="shared" si="14"/>
        <v>-2.5</v>
      </c>
      <c r="O18" s="57">
        <f t="shared" si="14"/>
        <v>-2.2</v>
      </c>
      <c r="P18" s="58">
        <f t="shared" si="14"/>
        <v>-2.5</v>
      </c>
      <c r="Q18" s="58">
        <f t="shared" si="14"/>
        <v>-2.3</v>
      </c>
      <c r="R18" s="59">
        <f t="shared" si="14"/>
        <v>-2.1</v>
      </c>
      <c r="S18" s="57">
        <f t="shared" si="14"/>
        <v>-2.1</v>
      </c>
      <c r="T18" s="58">
        <f t="shared" si="14"/>
        <v>-2.3</v>
      </c>
      <c r="U18" s="58">
        <f t="shared" si="14"/>
        <v>-3.2</v>
      </c>
      <c r="V18" s="59">
        <f t="shared" si="14"/>
        <v>-3</v>
      </c>
      <c r="W18" s="57">
        <f t="shared" si="14"/>
        <v>-7.6</v>
      </c>
      <c r="X18" s="58">
        <f t="shared" si="14"/>
        <v>-6.1000000000000005</v>
      </c>
      <c r="Y18" s="58">
        <f t="shared" si="14"/>
        <v>-6.299999999999999</v>
      </c>
      <c r="Z18" s="59">
        <f t="shared" si="14"/>
        <v>-9.4</v>
      </c>
      <c r="AA18" s="57">
        <f t="shared" si="14"/>
        <v>-8.2</v>
      </c>
      <c r="AB18" s="58">
        <f t="shared" si="14"/>
        <v>-8.600000000000001</v>
      </c>
      <c r="AC18" s="58">
        <f t="shared" si="14"/>
        <v>-9.4</v>
      </c>
      <c r="AD18" s="59">
        <f t="shared" si="14"/>
        <v>-11.899999999999999</v>
      </c>
      <c r="AE18" s="58">
        <f>SUM(AE62,AE68,AE85)</f>
        <v>-14.099999999999998</v>
      </c>
      <c r="AF18" s="58">
        <f>SUM(AF62,AF68,AF85)</f>
        <v>-17.000000000000004</v>
      </c>
      <c r="AG18" s="58">
        <f>SUM(AG62,AG68,AG85)</f>
        <v>-12.399999999999999</v>
      </c>
    </row>
    <row r="19" spans="1:33" s="66" customFormat="1" ht="12.75">
      <c r="A19" s="106" t="s">
        <v>627</v>
      </c>
      <c r="B19" s="106" t="s">
        <v>612</v>
      </c>
      <c r="C19" s="57">
        <f>SUM(C63)</f>
        <v>-15</v>
      </c>
      <c r="D19" s="58">
        <f aca="true" t="shared" si="15" ref="D19:AD19">SUM(D63)</f>
        <v>-14.5</v>
      </c>
      <c r="E19" s="58">
        <f t="shared" si="15"/>
        <v>-13.9</v>
      </c>
      <c r="F19" s="58">
        <f t="shared" si="15"/>
        <v>-13.5</v>
      </c>
      <c r="G19" s="57">
        <f t="shared" si="15"/>
        <v>-13.5</v>
      </c>
      <c r="H19" s="58">
        <f t="shared" si="15"/>
        <v>-0.1</v>
      </c>
      <c r="I19" s="58">
        <f t="shared" si="15"/>
        <v>0</v>
      </c>
      <c r="J19" s="59">
        <f t="shared" si="15"/>
        <v>0</v>
      </c>
      <c r="K19" s="57">
        <f t="shared" si="15"/>
        <v>0</v>
      </c>
      <c r="L19" s="58">
        <f t="shared" si="15"/>
        <v>-0.5</v>
      </c>
      <c r="M19" s="58">
        <f t="shared" si="15"/>
        <v>-0.9</v>
      </c>
      <c r="N19" s="59">
        <f t="shared" si="15"/>
        <v>-2</v>
      </c>
      <c r="O19" s="57">
        <f t="shared" si="15"/>
        <v>-3.3</v>
      </c>
      <c r="P19" s="58">
        <f t="shared" si="15"/>
        <v>-3.3</v>
      </c>
      <c r="Q19" s="58">
        <f t="shared" si="15"/>
        <v>-3.1</v>
      </c>
      <c r="R19" s="59">
        <f t="shared" si="15"/>
        <v>-0.2</v>
      </c>
      <c r="S19" s="57">
        <f t="shared" si="15"/>
        <v>-0.2</v>
      </c>
      <c r="T19" s="58">
        <f t="shared" si="15"/>
        <v>-0.2</v>
      </c>
      <c r="U19" s="58">
        <f t="shared" si="15"/>
        <v>-0.3</v>
      </c>
      <c r="V19" s="59">
        <f t="shared" si="15"/>
        <v>-0.2</v>
      </c>
      <c r="W19" s="57">
        <f t="shared" si="15"/>
        <v>-0.2</v>
      </c>
      <c r="X19" s="58">
        <f t="shared" si="15"/>
        <v>-32.3</v>
      </c>
      <c r="Y19" s="58">
        <f t="shared" si="15"/>
        <v>-46.5</v>
      </c>
      <c r="Z19" s="59">
        <f t="shared" si="15"/>
        <v>-57.8</v>
      </c>
      <c r="AA19" s="57">
        <f t="shared" si="15"/>
        <v>-59</v>
      </c>
      <c r="AB19" s="58">
        <f t="shared" si="15"/>
        <v>-63.800000000000004</v>
      </c>
      <c r="AC19" s="58">
        <f t="shared" si="15"/>
        <v>-69</v>
      </c>
      <c r="AD19" s="59">
        <f t="shared" si="15"/>
        <v>0</v>
      </c>
      <c r="AE19" s="58">
        <f>SUM(AE63)</f>
        <v>0</v>
      </c>
      <c r="AF19" s="58">
        <f>SUM(AF63)</f>
        <v>0</v>
      </c>
      <c r="AG19" s="58">
        <f>SUM(AG63)</f>
        <v>0</v>
      </c>
    </row>
    <row r="20" spans="1:33" s="9" customFormat="1" ht="12.75">
      <c r="A20" s="104" t="s">
        <v>312</v>
      </c>
      <c r="B20" s="104" t="s">
        <v>613</v>
      </c>
      <c r="C20" s="39">
        <f>SUM(C64,C69)</f>
        <v>-8.6</v>
      </c>
      <c r="D20" s="40">
        <f aca="true" t="shared" si="16" ref="D20:AD20">SUM(D64,D69)</f>
        <v>-8.6</v>
      </c>
      <c r="E20" s="40">
        <f t="shared" si="16"/>
        <v>-8.6</v>
      </c>
      <c r="F20" s="40">
        <f t="shared" si="16"/>
        <v>-8.6</v>
      </c>
      <c r="G20" s="39">
        <f t="shared" si="16"/>
        <v>-8.6</v>
      </c>
      <c r="H20" s="40">
        <f t="shared" si="16"/>
        <v>-8.6</v>
      </c>
      <c r="I20" s="40">
        <f t="shared" si="16"/>
        <v>-8.6</v>
      </c>
      <c r="J20" s="41">
        <f t="shared" si="16"/>
        <v>-8.6</v>
      </c>
      <c r="K20" s="39">
        <f t="shared" si="16"/>
        <v>-8.6</v>
      </c>
      <c r="L20" s="40">
        <f t="shared" si="16"/>
        <v>-8.6</v>
      </c>
      <c r="M20" s="40">
        <f t="shared" si="16"/>
        <v>-8.6</v>
      </c>
      <c r="N20" s="41">
        <f t="shared" si="16"/>
        <v>-8.6</v>
      </c>
      <c r="O20" s="39">
        <f t="shared" si="16"/>
        <v>-8.6</v>
      </c>
      <c r="P20" s="40">
        <f t="shared" si="16"/>
        <v>-8.6</v>
      </c>
      <c r="Q20" s="40">
        <f t="shared" si="16"/>
        <v>-5.2</v>
      </c>
      <c r="R20" s="41">
        <f t="shared" si="16"/>
        <v>-5.2</v>
      </c>
      <c r="S20" s="39">
        <f t="shared" si="16"/>
        <v>-5.2</v>
      </c>
      <c r="T20" s="40">
        <f t="shared" si="16"/>
        <v>-5.2</v>
      </c>
      <c r="U20" s="40">
        <f t="shared" si="16"/>
        <v>-5.2</v>
      </c>
      <c r="V20" s="41">
        <f t="shared" si="16"/>
        <v>-5.2</v>
      </c>
      <c r="W20" s="39">
        <f t="shared" si="16"/>
        <v>-5.1</v>
      </c>
      <c r="X20" s="40">
        <f t="shared" si="16"/>
        <v>-5.2</v>
      </c>
      <c r="Y20" s="40">
        <f t="shared" si="16"/>
        <v>-5.2</v>
      </c>
      <c r="Z20" s="41">
        <f t="shared" si="16"/>
        <v>-5.2</v>
      </c>
      <c r="AA20" s="39">
        <f t="shared" si="16"/>
        <v>-5.2</v>
      </c>
      <c r="AB20" s="40">
        <f t="shared" si="16"/>
        <v>-5.2</v>
      </c>
      <c r="AC20" s="40">
        <f t="shared" si="16"/>
        <v>-5.2</v>
      </c>
      <c r="AD20" s="41">
        <f t="shared" si="16"/>
        <v>-5.2</v>
      </c>
      <c r="AE20" s="40">
        <f>SUM(AE64,AE69)</f>
        <v>-5.2</v>
      </c>
      <c r="AF20" s="40">
        <f>SUM(AF64,AF69)</f>
        <v>-5.2</v>
      </c>
      <c r="AG20" s="40">
        <f>SUM(AG64,AG69)</f>
        <v>-5.2</v>
      </c>
    </row>
    <row r="21" spans="1:33" s="208" customFormat="1" ht="21" customHeight="1">
      <c r="A21" s="148" t="s">
        <v>313</v>
      </c>
      <c r="B21" s="148" t="s">
        <v>115</v>
      </c>
      <c r="C21" s="205">
        <f>C13+C14</f>
        <v>13782.6</v>
      </c>
      <c r="D21" s="206">
        <f aca="true" t="shared" si="17" ref="D21:AD21">D13+D14</f>
        <v>14567.2</v>
      </c>
      <c r="E21" s="206">
        <f t="shared" si="17"/>
        <v>15449.399999999998</v>
      </c>
      <c r="F21" s="206">
        <f t="shared" si="17"/>
        <v>16379.099999999997</v>
      </c>
      <c r="G21" s="205">
        <f t="shared" si="17"/>
        <v>18039.899999999998</v>
      </c>
      <c r="H21" s="206">
        <f t="shared" si="17"/>
        <v>19569.4</v>
      </c>
      <c r="I21" s="206">
        <f t="shared" si="17"/>
        <v>21915.8</v>
      </c>
      <c r="J21" s="207">
        <f t="shared" si="17"/>
        <v>25584.7</v>
      </c>
      <c r="K21" s="205">
        <f t="shared" si="17"/>
        <v>28871.3</v>
      </c>
      <c r="L21" s="206">
        <f t="shared" si="17"/>
        <v>28613.9</v>
      </c>
      <c r="M21" s="206">
        <f t="shared" si="17"/>
        <v>28835.199999999997</v>
      </c>
      <c r="N21" s="207">
        <f t="shared" si="17"/>
        <v>29966.1</v>
      </c>
      <c r="O21" s="205">
        <f t="shared" si="17"/>
        <v>29973.300000000003</v>
      </c>
      <c r="P21" s="206">
        <f t="shared" si="17"/>
        <v>31653.100000000002</v>
      </c>
      <c r="Q21" s="206">
        <f t="shared" si="17"/>
        <v>33229.799999999996</v>
      </c>
      <c r="R21" s="207">
        <f t="shared" si="17"/>
        <v>34509</v>
      </c>
      <c r="S21" s="205">
        <f t="shared" si="17"/>
        <v>35292.9</v>
      </c>
      <c r="T21" s="206">
        <f t="shared" si="17"/>
        <v>37014.100000000006</v>
      </c>
      <c r="U21" s="206">
        <f t="shared" si="17"/>
        <v>39699.6</v>
      </c>
      <c r="V21" s="207">
        <f t="shared" si="17"/>
        <v>42329.7</v>
      </c>
      <c r="W21" s="205">
        <f t="shared" si="17"/>
        <v>47717.3</v>
      </c>
      <c r="X21" s="206">
        <f t="shared" si="17"/>
        <v>48490.59999999999</v>
      </c>
      <c r="Y21" s="206">
        <f t="shared" si="17"/>
        <v>49275.09999999999</v>
      </c>
      <c r="Z21" s="207">
        <f t="shared" si="17"/>
        <v>48985.3</v>
      </c>
      <c r="AA21" s="205">
        <f t="shared" si="17"/>
        <v>49119.30000000001</v>
      </c>
      <c r="AB21" s="206">
        <f t="shared" si="17"/>
        <v>50472.50000000001</v>
      </c>
      <c r="AC21" s="206">
        <f t="shared" si="17"/>
        <v>52105.2</v>
      </c>
      <c r="AD21" s="207">
        <f t="shared" si="17"/>
        <v>52237.9</v>
      </c>
      <c r="AE21" s="206">
        <f>AE13+AE14</f>
        <v>54597.100000000006</v>
      </c>
      <c r="AF21" s="206">
        <f>AF13+AF14</f>
        <v>57319</v>
      </c>
      <c r="AG21" s="206">
        <f>AG13+AG14</f>
        <v>60219.00000000001</v>
      </c>
    </row>
    <row r="22" spans="1:33" ht="20.25">
      <c r="A22" s="90" t="s">
        <v>401</v>
      </c>
      <c r="B22" s="90" t="s">
        <v>116</v>
      </c>
      <c r="C22" s="39">
        <f>SUM(C38)</f>
        <v>2250.1000000000004</v>
      </c>
      <c r="D22" s="40">
        <f aca="true" t="shared" si="18" ref="D22:X22">SUM(D38)</f>
        <v>2122.5</v>
      </c>
      <c r="E22" s="40">
        <f t="shared" si="18"/>
        <v>2125.7</v>
      </c>
      <c r="F22" s="40">
        <f t="shared" si="18"/>
        <v>2336.7999999999997</v>
      </c>
      <c r="G22" s="39">
        <f t="shared" si="18"/>
        <v>2551.2000000000003</v>
      </c>
      <c r="H22" s="40">
        <f t="shared" si="18"/>
        <v>2702.2</v>
      </c>
      <c r="I22" s="40">
        <f t="shared" si="18"/>
        <v>3069.0000000000005</v>
      </c>
      <c r="J22" s="41">
        <f t="shared" si="18"/>
        <v>3021.2999999999997</v>
      </c>
      <c r="K22" s="39">
        <f t="shared" si="18"/>
        <v>2968.2000000000003</v>
      </c>
      <c r="L22" s="40">
        <f t="shared" si="18"/>
        <v>2833.2999999999997</v>
      </c>
      <c r="M22" s="40">
        <f t="shared" si="18"/>
        <v>2809.5000000000005</v>
      </c>
      <c r="N22" s="41">
        <f t="shared" si="18"/>
        <v>2695.2</v>
      </c>
      <c r="O22" s="39">
        <f t="shared" si="18"/>
        <v>2513</v>
      </c>
      <c r="P22" s="40">
        <f t="shared" si="18"/>
        <v>2547.9</v>
      </c>
      <c r="Q22" s="40">
        <f t="shared" si="18"/>
        <v>2580.1</v>
      </c>
      <c r="R22" s="41">
        <f t="shared" si="18"/>
        <v>2666.2999999999997</v>
      </c>
      <c r="S22" s="39">
        <f t="shared" si="18"/>
        <v>2664.8999999999996</v>
      </c>
      <c r="T22" s="40">
        <f t="shared" si="18"/>
        <v>2868.7000000000003</v>
      </c>
      <c r="U22" s="40">
        <f t="shared" si="18"/>
        <v>2873.2</v>
      </c>
      <c r="V22" s="41">
        <f t="shared" si="18"/>
        <v>2908.8999999999996</v>
      </c>
      <c r="W22" s="39">
        <f t="shared" si="18"/>
        <v>1248.9</v>
      </c>
      <c r="X22" s="40">
        <f t="shared" si="18"/>
        <v>1377.1000000000001</v>
      </c>
      <c r="Y22" s="40">
        <f aca="true" t="shared" si="19" ref="Y22:AD22">SUM(Y38)</f>
        <v>1525.4999999999995</v>
      </c>
      <c r="Z22" s="41">
        <f t="shared" si="19"/>
        <v>1645.3999999999999</v>
      </c>
      <c r="AA22" s="39">
        <f t="shared" si="19"/>
        <v>1405.8999999999996</v>
      </c>
      <c r="AB22" s="40">
        <f t="shared" si="19"/>
        <v>1421.8000000000002</v>
      </c>
      <c r="AC22" s="40">
        <f t="shared" si="19"/>
        <v>1531</v>
      </c>
      <c r="AD22" s="41">
        <f t="shared" si="19"/>
        <v>1568.1</v>
      </c>
      <c r="AE22" s="40">
        <f>SUM(AE38)</f>
        <v>1544.0999999999997</v>
      </c>
      <c r="AF22" s="40">
        <f>SUM(AF38)</f>
        <v>1733.2</v>
      </c>
      <c r="AG22" s="40">
        <f>SUM(AG38)</f>
        <v>1780.4</v>
      </c>
    </row>
    <row r="23" spans="1:33" ht="12.75">
      <c r="A23" s="90" t="s">
        <v>402</v>
      </c>
      <c r="B23" s="90" t="s">
        <v>117</v>
      </c>
      <c r="C23" s="39">
        <f>SUM(C70)</f>
        <v>10936.4</v>
      </c>
      <c r="D23" s="40">
        <f aca="true" t="shared" si="20" ref="D23:X23">SUM(D70)</f>
        <v>11871.600000000002</v>
      </c>
      <c r="E23" s="40">
        <f t="shared" si="20"/>
        <v>12740.500000000002</v>
      </c>
      <c r="F23" s="40">
        <f t="shared" si="20"/>
        <v>13374.599999999999</v>
      </c>
      <c r="G23" s="39">
        <f t="shared" si="20"/>
        <v>14847.1</v>
      </c>
      <c r="H23" s="40">
        <f t="shared" si="20"/>
        <v>16219.1</v>
      </c>
      <c r="I23" s="40">
        <f t="shared" si="20"/>
        <v>18175.9</v>
      </c>
      <c r="J23" s="41">
        <f t="shared" si="20"/>
        <v>19872.3</v>
      </c>
      <c r="K23" s="39">
        <f t="shared" si="20"/>
        <v>21133</v>
      </c>
      <c r="L23" s="40">
        <f t="shared" si="20"/>
        <v>21306.3</v>
      </c>
      <c r="M23" s="40">
        <f t="shared" si="20"/>
        <v>21405.799999999996</v>
      </c>
      <c r="N23" s="41">
        <f t="shared" si="20"/>
        <v>21370.2</v>
      </c>
      <c r="O23" s="39">
        <f t="shared" si="20"/>
        <v>21705.399999999998</v>
      </c>
      <c r="P23" s="40">
        <f t="shared" si="20"/>
        <v>22864.8</v>
      </c>
      <c r="Q23" s="40">
        <f t="shared" si="20"/>
        <v>24292.4</v>
      </c>
      <c r="R23" s="41">
        <f t="shared" si="20"/>
        <v>25223.8</v>
      </c>
      <c r="S23" s="39">
        <f t="shared" si="20"/>
        <v>26088.6</v>
      </c>
      <c r="T23" s="40">
        <f t="shared" si="20"/>
        <v>27686.6</v>
      </c>
      <c r="U23" s="40">
        <f t="shared" si="20"/>
        <v>29593.499999999996</v>
      </c>
      <c r="V23" s="41">
        <f t="shared" si="20"/>
        <v>31635.8</v>
      </c>
      <c r="W23" s="39">
        <f t="shared" si="20"/>
        <v>38737.6</v>
      </c>
      <c r="X23" s="40">
        <f t="shared" si="20"/>
        <v>39331.9</v>
      </c>
      <c r="Y23" s="40">
        <f aca="true" t="shared" si="21" ref="Y23:AD23">SUM(Y70)</f>
        <v>40103.6</v>
      </c>
      <c r="Z23" s="41">
        <f t="shared" si="21"/>
        <v>39645</v>
      </c>
      <c r="AA23" s="39">
        <f t="shared" si="21"/>
        <v>40060</v>
      </c>
      <c r="AB23" s="40">
        <f t="shared" si="21"/>
        <v>41569.4</v>
      </c>
      <c r="AC23" s="40">
        <f t="shared" si="21"/>
        <v>43262.09999999999</v>
      </c>
      <c r="AD23" s="41">
        <f t="shared" si="21"/>
        <v>43409.09999999999</v>
      </c>
      <c r="AE23" s="40">
        <f>SUM(AE70)</f>
        <v>45744.6</v>
      </c>
      <c r="AF23" s="40">
        <f>SUM(AF70)</f>
        <v>48332.40000000001</v>
      </c>
      <c r="AG23" s="40">
        <f>SUM(AG70)</f>
        <v>51030.6</v>
      </c>
    </row>
    <row r="24" spans="1:33" ht="20.25">
      <c r="A24" s="90" t="s">
        <v>403</v>
      </c>
      <c r="B24" s="90" t="s">
        <v>118</v>
      </c>
      <c r="C24" s="39">
        <f>SUM(C86)</f>
        <v>596.1</v>
      </c>
      <c r="D24" s="40">
        <f aca="true" t="shared" si="22" ref="D24:X24">SUM(D86)</f>
        <v>573.1</v>
      </c>
      <c r="E24" s="40">
        <f t="shared" si="22"/>
        <v>583.2</v>
      </c>
      <c r="F24" s="40">
        <f t="shared" si="22"/>
        <v>667.6999999999999</v>
      </c>
      <c r="G24" s="39">
        <f t="shared" si="22"/>
        <v>641.6</v>
      </c>
      <c r="H24" s="40">
        <f t="shared" si="22"/>
        <v>648.1</v>
      </c>
      <c r="I24" s="40">
        <f t="shared" si="22"/>
        <v>670.9</v>
      </c>
      <c r="J24" s="41">
        <f t="shared" si="22"/>
        <v>2691.1</v>
      </c>
      <c r="K24" s="39">
        <f t="shared" si="22"/>
        <v>4770.1</v>
      </c>
      <c r="L24" s="40">
        <f t="shared" si="22"/>
        <v>4474.3</v>
      </c>
      <c r="M24" s="40">
        <f t="shared" si="22"/>
        <v>4619.900000000001</v>
      </c>
      <c r="N24" s="41">
        <f t="shared" si="22"/>
        <v>5900.700000000001</v>
      </c>
      <c r="O24" s="39">
        <f t="shared" si="22"/>
        <v>5754.900000000001</v>
      </c>
      <c r="P24" s="40">
        <f t="shared" si="22"/>
        <v>6240.400000000001</v>
      </c>
      <c r="Q24" s="40">
        <f t="shared" si="22"/>
        <v>6357.299999999999</v>
      </c>
      <c r="R24" s="41">
        <f t="shared" si="22"/>
        <v>6618.900000000001</v>
      </c>
      <c r="S24" s="39">
        <f t="shared" si="22"/>
        <v>6539.4</v>
      </c>
      <c r="T24" s="40">
        <f t="shared" si="22"/>
        <v>6458.8</v>
      </c>
      <c r="U24" s="40">
        <f t="shared" si="22"/>
        <v>7232.900000000001</v>
      </c>
      <c r="V24" s="41">
        <f t="shared" si="22"/>
        <v>7785</v>
      </c>
      <c r="W24" s="39">
        <f t="shared" si="22"/>
        <v>7730.8</v>
      </c>
      <c r="X24" s="40">
        <f t="shared" si="22"/>
        <v>7781.6</v>
      </c>
      <c r="Y24" s="40">
        <f aca="true" t="shared" si="23" ref="Y24:AD24">SUM(Y86)</f>
        <v>7646.000000000001</v>
      </c>
      <c r="Z24" s="41">
        <f t="shared" si="23"/>
        <v>7694.900000000001</v>
      </c>
      <c r="AA24" s="39">
        <f t="shared" si="23"/>
        <v>7653.4</v>
      </c>
      <c r="AB24" s="40">
        <f t="shared" si="23"/>
        <v>7481.3</v>
      </c>
      <c r="AC24" s="40">
        <f t="shared" si="23"/>
        <v>7312.1</v>
      </c>
      <c r="AD24" s="41">
        <f t="shared" si="23"/>
        <v>7260.7</v>
      </c>
      <c r="AE24" s="40">
        <f>SUM(AE86)</f>
        <v>7308.400000000001</v>
      </c>
      <c r="AF24" s="40">
        <f>SUM(AF86)</f>
        <v>7253.400000000001</v>
      </c>
      <c r="AG24" s="40">
        <f>SUM(AG86)</f>
        <v>7408</v>
      </c>
    </row>
    <row r="25" spans="1:33" ht="12.75">
      <c r="A25" s="90"/>
      <c r="B25" s="90"/>
      <c r="C25" s="39"/>
      <c r="D25" s="40"/>
      <c r="E25" s="40"/>
      <c r="F25" s="40"/>
      <c r="G25" s="39"/>
      <c r="H25" s="40"/>
      <c r="I25" s="40"/>
      <c r="J25" s="41"/>
      <c r="K25" s="39"/>
      <c r="L25" s="40"/>
      <c r="M25" s="40"/>
      <c r="N25" s="41"/>
      <c r="O25" s="39"/>
      <c r="P25" s="40"/>
      <c r="Q25" s="40"/>
      <c r="R25" s="41"/>
      <c r="S25" s="39"/>
      <c r="T25" s="40"/>
      <c r="U25" s="40"/>
      <c r="V25" s="41"/>
      <c r="W25" s="39"/>
      <c r="X25" s="40"/>
      <c r="Y25" s="40"/>
      <c r="Z25" s="41"/>
      <c r="AA25" s="39"/>
      <c r="AB25" s="40"/>
      <c r="AC25" s="40"/>
      <c r="AD25" s="41"/>
      <c r="AE25" s="40"/>
      <c r="AF25" s="40"/>
      <c r="AG25" s="40"/>
    </row>
    <row r="26" spans="1:33" s="12" customFormat="1" ht="12">
      <c r="A26" s="201" t="s">
        <v>314</v>
      </c>
      <c r="B26" s="201" t="s">
        <v>107</v>
      </c>
      <c r="C26" s="202"/>
      <c r="D26" s="203"/>
      <c r="E26" s="203"/>
      <c r="F26" s="203"/>
      <c r="G26" s="202"/>
      <c r="H26" s="203"/>
      <c r="I26" s="203"/>
      <c r="J26" s="204"/>
      <c r="K26" s="202"/>
      <c r="L26" s="203"/>
      <c r="M26" s="203"/>
      <c r="N26" s="204"/>
      <c r="O26" s="202"/>
      <c r="P26" s="203"/>
      <c r="Q26" s="203"/>
      <c r="R26" s="204"/>
      <c r="S26" s="202"/>
      <c r="T26" s="203"/>
      <c r="U26" s="203"/>
      <c r="V26" s="204"/>
      <c r="W26" s="202"/>
      <c r="X26" s="203"/>
      <c r="Y26" s="203"/>
      <c r="Z26" s="204"/>
      <c r="AA26" s="202"/>
      <c r="AB26" s="203"/>
      <c r="AC26" s="203"/>
      <c r="AD26" s="204"/>
      <c r="AE26" s="203"/>
      <c r="AF26" s="203"/>
      <c r="AG26" s="203"/>
    </row>
    <row r="27" spans="1:33" ht="12.75">
      <c r="A27" s="38"/>
      <c r="B27" s="38"/>
      <c r="C27" s="39"/>
      <c r="D27" s="40"/>
      <c r="E27" s="40"/>
      <c r="F27" s="40"/>
      <c r="G27" s="39"/>
      <c r="H27" s="40"/>
      <c r="I27" s="40"/>
      <c r="J27" s="41"/>
      <c r="K27" s="39"/>
      <c r="L27" s="40"/>
      <c r="M27" s="40"/>
      <c r="N27" s="41"/>
      <c r="O27" s="39"/>
      <c r="P27" s="40"/>
      <c r="Q27" s="40"/>
      <c r="R27" s="41"/>
      <c r="S27" s="39"/>
      <c r="T27" s="40"/>
      <c r="U27" s="40"/>
      <c r="V27" s="41"/>
      <c r="W27" s="39"/>
      <c r="X27" s="40"/>
      <c r="Y27" s="40"/>
      <c r="Z27" s="41"/>
      <c r="AA27" s="39"/>
      <c r="AB27" s="40"/>
      <c r="AC27" s="40"/>
      <c r="AD27" s="41"/>
      <c r="AE27" s="40"/>
      <c r="AF27" s="40"/>
      <c r="AG27" s="40"/>
    </row>
    <row r="28" spans="1:33" ht="12.75">
      <c r="A28" s="38" t="s">
        <v>315</v>
      </c>
      <c r="B28" s="38" t="s">
        <v>108</v>
      </c>
      <c r="C28" s="39">
        <f>SUM(C29:C30)</f>
        <v>2175.8</v>
      </c>
      <c r="D28" s="40">
        <f aca="true" t="shared" si="24" ref="D28:X28">SUM(D29:D30)</f>
        <v>2057.5</v>
      </c>
      <c r="E28" s="40">
        <f t="shared" si="24"/>
        <v>2061.8999999999996</v>
      </c>
      <c r="F28" s="40">
        <f t="shared" si="24"/>
        <v>2232.6</v>
      </c>
      <c r="G28" s="39">
        <f>SUM(G29:G30)</f>
        <v>2461.8</v>
      </c>
      <c r="H28" s="40">
        <f t="shared" si="24"/>
        <v>2602.7</v>
      </c>
      <c r="I28" s="40">
        <f t="shared" si="24"/>
        <v>2918.7000000000003</v>
      </c>
      <c r="J28" s="41">
        <f t="shared" si="24"/>
        <v>2925.1</v>
      </c>
      <c r="K28" s="39">
        <f t="shared" si="24"/>
        <v>2866.4</v>
      </c>
      <c r="L28" s="40">
        <f t="shared" si="24"/>
        <v>2714.5</v>
      </c>
      <c r="M28" s="40">
        <f t="shared" si="24"/>
        <v>2673.4</v>
      </c>
      <c r="N28" s="41">
        <f t="shared" si="24"/>
        <v>2545.6</v>
      </c>
      <c r="O28" s="39">
        <f t="shared" si="24"/>
        <v>2369.1</v>
      </c>
      <c r="P28" s="40">
        <f t="shared" si="24"/>
        <v>2420</v>
      </c>
      <c r="Q28" s="40">
        <f t="shared" si="24"/>
        <v>2428.5</v>
      </c>
      <c r="R28" s="41">
        <f t="shared" si="24"/>
        <v>2585</v>
      </c>
      <c r="S28" s="39">
        <f t="shared" si="24"/>
        <v>2491.2</v>
      </c>
      <c r="T28" s="40">
        <f t="shared" si="24"/>
        <v>2714.1</v>
      </c>
      <c r="U28" s="40">
        <f t="shared" si="24"/>
        <v>2733.3</v>
      </c>
      <c r="V28" s="41">
        <f t="shared" si="24"/>
        <v>2821.7999999999997</v>
      </c>
      <c r="W28" s="39">
        <f t="shared" si="24"/>
        <v>1140.5000000000002</v>
      </c>
      <c r="X28" s="40">
        <f t="shared" si="24"/>
        <v>1276.1000000000001</v>
      </c>
      <c r="Y28" s="40">
        <f aca="true" t="shared" si="25" ref="Y28:AD28">SUM(Y29:Y30)</f>
        <v>1408.9999999999998</v>
      </c>
      <c r="Z28" s="41">
        <f t="shared" si="25"/>
        <v>1533.8</v>
      </c>
      <c r="AA28" s="39">
        <f t="shared" si="25"/>
        <v>1310.3999999999996</v>
      </c>
      <c r="AB28" s="40">
        <f t="shared" si="25"/>
        <v>1334.3000000000002</v>
      </c>
      <c r="AC28" s="40">
        <f t="shared" si="25"/>
        <v>1432.6000000000001</v>
      </c>
      <c r="AD28" s="41">
        <f t="shared" si="25"/>
        <v>1457.8999999999999</v>
      </c>
      <c r="AE28" s="40">
        <f>SUM(AE29:AE30)</f>
        <v>1417.9999999999998</v>
      </c>
      <c r="AF28" s="40">
        <f>SUM(AF29:AF30)</f>
        <v>1641.8</v>
      </c>
      <c r="AG28" s="40">
        <f>SUM(AG29:AG30)</f>
        <v>1679.9</v>
      </c>
    </row>
    <row r="29" spans="1:33" s="118" customFormat="1" ht="12.75">
      <c r="A29" s="56" t="s">
        <v>316</v>
      </c>
      <c r="B29" s="56" t="s">
        <v>109</v>
      </c>
      <c r="C29" s="57">
        <v>454.3</v>
      </c>
      <c r="D29" s="58">
        <v>436.3</v>
      </c>
      <c r="E29" s="58">
        <v>432</v>
      </c>
      <c r="F29" s="58">
        <v>379</v>
      </c>
      <c r="G29" s="57">
        <v>452.4</v>
      </c>
      <c r="H29" s="58">
        <v>520</v>
      </c>
      <c r="I29" s="58">
        <v>399.4</v>
      </c>
      <c r="J29" s="59">
        <v>382.7</v>
      </c>
      <c r="K29" s="57">
        <v>369.1</v>
      </c>
      <c r="L29" s="58">
        <v>354.5</v>
      </c>
      <c r="M29" s="58">
        <v>414.3</v>
      </c>
      <c r="N29" s="59">
        <v>381.1</v>
      </c>
      <c r="O29" s="57">
        <v>332.8</v>
      </c>
      <c r="P29" s="58">
        <v>369</v>
      </c>
      <c r="Q29" s="58">
        <v>408.6</v>
      </c>
      <c r="R29" s="59">
        <v>434.8</v>
      </c>
      <c r="S29" s="57">
        <v>438.1</v>
      </c>
      <c r="T29" s="58">
        <v>501.9</v>
      </c>
      <c r="U29" s="58">
        <v>548.2</v>
      </c>
      <c r="V29" s="59">
        <v>4.7</v>
      </c>
      <c r="W29" s="57">
        <v>18.700000000000045</v>
      </c>
      <c r="X29" s="58">
        <v>32.700000000000045</v>
      </c>
      <c r="Y29" s="58">
        <v>46.299999999999955</v>
      </c>
      <c r="Z29" s="59">
        <v>127.90000000000009</v>
      </c>
      <c r="AA29" s="57">
        <v>40.80000000000007</v>
      </c>
      <c r="AB29" s="58">
        <v>32</v>
      </c>
      <c r="AC29" s="58">
        <v>110.20000000000005</v>
      </c>
      <c r="AD29" s="59">
        <v>66.79999999999995</v>
      </c>
      <c r="AE29" s="58">
        <v>46.7</v>
      </c>
      <c r="AF29" s="58">
        <v>60.700000000000045</v>
      </c>
      <c r="AG29" s="58">
        <v>71.59999999999991</v>
      </c>
    </row>
    <row r="30" spans="1:33" s="118" customFormat="1" ht="12.75">
      <c r="A30" s="56" t="s">
        <v>317</v>
      </c>
      <c r="B30" s="56" t="s">
        <v>110</v>
      </c>
      <c r="C30" s="57">
        <f>1716.3+5.2</f>
        <v>1721.5</v>
      </c>
      <c r="D30" s="58">
        <f>1617.2+4</f>
        <v>1621.2</v>
      </c>
      <c r="E30" s="58">
        <f>1625.6+4.3</f>
        <v>1629.8999999999999</v>
      </c>
      <c r="F30" s="58">
        <v>1853.6</v>
      </c>
      <c r="G30" s="57">
        <v>2009.4</v>
      </c>
      <c r="H30" s="58">
        <v>2082.7</v>
      </c>
      <c r="I30" s="58">
        <v>2519.3</v>
      </c>
      <c r="J30" s="59">
        <v>2542.4</v>
      </c>
      <c r="K30" s="57">
        <v>2497.3</v>
      </c>
      <c r="L30" s="58">
        <v>2360</v>
      </c>
      <c r="M30" s="58">
        <v>2259.1</v>
      </c>
      <c r="N30" s="59">
        <v>2164.5</v>
      </c>
      <c r="O30" s="57">
        <v>2036.3</v>
      </c>
      <c r="P30" s="58">
        <v>2051</v>
      </c>
      <c r="Q30" s="58">
        <v>2019.9</v>
      </c>
      <c r="R30" s="59">
        <v>2150.2</v>
      </c>
      <c r="S30" s="57">
        <v>2053.1</v>
      </c>
      <c r="T30" s="58">
        <v>2212.2</v>
      </c>
      <c r="U30" s="58">
        <v>2185.1</v>
      </c>
      <c r="V30" s="59">
        <v>2817.1</v>
      </c>
      <c r="W30" s="57">
        <v>1121.8000000000002</v>
      </c>
      <c r="X30" s="58">
        <v>1243.4</v>
      </c>
      <c r="Y30" s="58">
        <v>1362.6999999999998</v>
      </c>
      <c r="Z30" s="59">
        <v>1405.8999999999999</v>
      </c>
      <c r="AA30" s="57">
        <v>1269.5999999999997</v>
      </c>
      <c r="AB30" s="58">
        <v>1302.3000000000002</v>
      </c>
      <c r="AC30" s="58">
        <v>1322.4</v>
      </c>
      <c r="AD30" s="59">
        <v>1391.1</v>
      </c>
      <c r="AE30" s="58">
        <v>1371.2999999999997</v>
      </c>
      <c r="AF30" s="58">
        <v>1581.1</v>
      </c>
      <c r="AG30" s="58">
        <v>1608.3000000000002</v>
      </c>
    </row>
    <row r="31" spans="1:33" ht="12.75">
      <c r="A31" s="38" t="s">
        <v>304</v>
      </c>
      <c r="B31" s="38" t="s">
        <v>99</v>
      </c>
      <c r="C31" s="39">
        <v>0</v>
      </c>
      <c r="D31" s="40">
        <v>0</v>
      </c>
      <c r="E31" s="40">
        <v>0</v>
      </c>
      <c r="F31" s="40">
        <v>0</v>
      </c>
      <c r="G31" s="39">
        <v>0</v>
      </c>
      <c r="H31" s="40">
        <v>0</v>
      </c>
      <c r="I31" s="40">
        <v>0</v>
      </c>
      <c r="J31" s="41">
        <v>0</v>
      </c>
      <c r="K31" s="39">
        <v>0</v>
      </c>
      <c r="L31" s="40">
        <v>0</v>
      </c>
      <c r="M31" s="40">
        <v>0</v>
      </c>
      <c r="N31" s="41">
        <v>0</v>
      </c>
      <c r="O31" s="39">
        <v>0</v>
      </c>
      <c r="P31" s="40">
        <v>0</v>
      </c>
      <c r="Q31" s="40">
        <v>0</v>
      </c>
      <c r="R31" s="41">
        <v>0</v>
      </c>
      <c r="S31" s="39">
        <v>0</v>
      </c>
      <c r="T31" s="40">
        <v>0</v>
      </c>
      <c r="U31" s="40">
        <v>0</v>
      </c>
      <c r="V31" s="41">
        <v>0</v>
      </c>
      <c r="W31" s="39">
        <v>0.1</v>
      </c>
      <c r="X31" s="40">
        <v>0</v>
      </c>
      <c r="Y31" s="40">
        <v>0.6</v>
      </c>
      <c r="Z31" s="41">
        <v>0.6</v>
      </c>
      <c r="AA31" s="39">
        <v>0.4</v>
      </c>
      <c r="AB31" s="40">
        <v>0.6</v>
      </c>
      <c r="AC31" s="40">
        <v>0.6</v>
      </c>
      <c r="AD31" s="41">
        <v>0.4</v>
      </c>
      <c r="AE31" s="40">
        <v>0.6</v>
      </c>
      <c r="AF31" s="40">
        <v>0.5</v>
      </c>
      <c r="AG31" s="40">
        <v>0.5</v>
      </c>
    </row>
    <row r="32" spans="1:33" ht="12.75">
      <c r="A32" s="38" t="s">
        <v>305</v>
      </c>
      <c r="B32" s="38" t="s">
        <v>100</v>
      </c>
      <c r="C32" s="39">
        <v>0</v>
      </c>
      <c r="D32" s="40">
        <v>0</v>
      </c>
      <c r="E32" s="40">
        <v>0</v>
      </c>
      <c r="F32" s="40">
        <v>0</v>
      </c>
      <c r="G32" s="39">
        <v>0</v>
      </c>
      <c r="H32" s="40">
        <v>0</v>
      </c>
      <c r="I32" s="40">
        <v>0</v>
      </c>
      <c r="J32" s="41">
        <v>0</v>
      </c>
      <c r="K32" s="39">
        <v>0</v>
      </c>
      <c r="L32" s="40">
        <v>0</v>
      </c>
      <c r="M32" s="40">
        <v>0</v>
      </c>
      <c r="N32" s="41">
        <v>0</v>
      </c>
      <c r="O32" s="39">
        <v>0</v>
      </c>
      <c r="P32" s="40">
        <v>0</v>
      </c>
      <c r="Q32" s="40">
        <v>0</v>
      </c>
      <c r="R32" s="41">
        <v>0</v>
      </c>
      <c r="S32" s="39">
        <v>0</v>
      </c>
      <c r="T32" s="40">
        <v>0</v>
      </c>
      <c r="U32" s="40">
        <v>0</v>
      </c>
      <c r="V32" s="41">
        <v>0</v>
      </c>
      <c r="W32" s="39">
        <v>0</v>
      </c>
      <c r="X32" s="40">
        <v>0</v>
      </c>
      <c r="Y32" s="40">
        <v>3.5</v>
      </c>
      <c r="Z32" s="41">
        <v>0</v>
      </c>
      <c r="AA32" s="39">
        <v>4.5</v>
      </c>
      <c r="AB32" s="40">
        <v>0</v>
      </c>
      <c r="AC32" s="40">
        <v>0</v>
      </c>
      <c r="AD32" s="41">
        <v>0</v>
      </c>
      <c r="AE32" s="40">
        <v>0</v>
      </c>
      <c r="AF32" s="40">
        <v>0</v>
      </c>
      <c r="AG32" s="40">
        <v>0</v>
      </c>
    </row>
    <row r="33" spans="1:33" ht="12.75">
      <c r="A33" s="38" t="s">
        <v>306</v>
      </c>
      <c r="B33" s="38" t="s">
        <v>101</v>
      </c>
      <c r="C33" s="39">
        <v>81.9</v>
      </c>
      <c r="D33" s="40">
        <f>69.7</f>
        <v>69.7</v>
      </c>
      <c r="E33" s="40">
        <f>68.3</f>
        <v>68.3</v>
      </c>
      <c r="F33" s="40">
        <v>110</v>
      </c>
      <c r="G33" s="39">
        <v>95.1</v>
      </c>
      <c r="H33" s="40">
        <v>103.1</v>
      </c>
      <c r="I33" s="40">
        <v>153.5</v>
      </c>
      <c r="J33" s="41">
        <v>98.2</v>
      </c>
      <c r="K33" s="39">
        <v>103.9</v>
      </c>
      <c r="L33" s="40">
        <v>120.6</v>
      </c>
      <c r="M33" s="40">
        <v>138.3</v>
      </c>
      <c r="N33" s="41">
        <v>151.4</v>
      </c>
      <c r="O33" s="39">
        <v>145.6</v>
      </c>
      <c r="P33" s="40">
        <v>129.6</v>
      </c>
      <c r="Q33" s="40">
        <v>153.7</v>
      </c>
      <c r="R33" s="41">
        <v>83.2</v>
      </c>
      <c r="S33" s="39">
        <v>175.1</v>
      </c>
      <c r="T33" s="40">
        <v>154.8</v>
      </c>
      <c r="U33" s="40">
        <v>140.2</v>
      </c>
      <c r="V33" s="41">
        <v>87.4</v>
      </c>
      <c r="W33" s="39">
        <v>108.7</v>
      </c>
      <c r="X33" s="40">
        <v>101.7</v>
      </c>
      <c r="Y33" s="40">
        <v>112.80000000000001</v>
      </c>
      <c r="Z33" s="41">
        <v>111.60000000000001</v>
      </c>
      <c r="AA33" s="39">
        <v>90.8</v>
      </c>
      <c r="AB33" s="40">
        <v>87.2</v>
      </c>
      <c r="AC33" s="40">
        <v>98</v>
      </c>
      <c r="AD33" s="41">
        <v>110.60000000000001</v>
      </c>
      <c r="AE33" s="40">
        <v>127.80000000000001</v>
      </c>
      <c r="AF33" s="40">
        <v>92.4</v>
      </c>
      <c r="AG33" s="40">
        <v>100.89999999999999</v>
      </c>
    </row>
    <row r="34" spans="1:33" s="12" customFormat="1" ht="12">
      <c r="A34" s="10" t="s">
        <v>318</v>
      </c>
      <c r="B34" s="10" t="s">
        <v>102</v>
      </c>
      <c r="C34" s="209">
        <f aca="true" t="shared" si="26" ref="C34:AB34">C28+C31+C32+C33</f>
        <v>2257.7000000000003</v>
      </c>
      <c r="D34" s="210">
        <f t="shared" si="26"/>
        <v>2127.2</v>
      </c>
      <c r="E34" s="210">
        <f t="shared" si="26"/>
        <v>2130.2</v>
      </c>
      <c r="F34" s="210">
        <f t="shared" si="26"/>
        <v>2342.6</v>
      </c>
      <c r="G34" s="209">
        <f t="shared" si="26"/>
        <v>2556.9</v>
      </c>
      <c r="H34" s="210">
        <f t="shared" si="26"/>
        <v>2705.7999999999997</v>
      </c>
      <c r="I34" s="210">
        <f t="shared" si="26"/>
        <v>3072.2000000000003</v>
      </c>
      <c r="J34" s="211">
        <f t="shared" si="26"/>
        <v>3023.2999999999997</v>
      </c>
      <c r="K34" s="209">
        <f t="shared" si="26"/>
        <v>2970.3</v>
      </c>
      <c r="L34" s="210">
        <f t="shared" si="26"/>
        <v>2835.1</v>
      </c>
      <c r="M34" s="210">
        <f t="shared" si="26"/>
        <v>2811.7000000000003</v>
      </c>
      <c r="N34" s="211">
        <f t="shared" si="26"/>
        <v>2697</v>
      </c>
      <c r="O34" s="209">
        <f t="shared" si="26"/>
        <v>2514.7</v>
      </c>
      <c r="P34" s="210">
        <f t="shared" si="26"/>
        <v>2549.6</v>
      </c>
      <c r="Q34" s="210">
        <f t="shared" si="26"/>
        <v>2582.2</v>
      </c>
      <c r="R34" s="211">
        <f t="shared" si="26"/>
        <v>2668.2</v>
      </c>
      <c r="S34" s="209">
        <f t="shared" si="26"/>
        <v>2666.2999999999997</v>
      </c>
      <c r="T34" s="210">
        <f t="shared" si="26"/>
        <v>2868.9</v>
      </c>
      <c r="U34" s="210">
        <f t="shared" si="26"/>
        <v>2873.5</v>
      </c>
      <c r="V34" s="211">
        <f t="shared" si="26"/>
        <v>2909.2</v>
      </c>
      <c r="W34" s="209">
        <f t="shared" si="26"/>
        <v>1249.3000000000002</v>
      </c>
      <c r="X34" s="210">
        <f t="shared" si="26"/>
        <v>1377.8000000000002</v>
      </c>
      <c r="Y34" s="210">
        <f t="shared" si="26"/>
        <v>1525.8999999999996</v>
      </c>
      <c r="Z34" s="211">
        <f t="shared" si="26"/>
        <v>1645.9999999999998</v>
      </c>
      <c r="AA34" s="209">
        <f t="shared" si="26"/>
        <v>1406.0999999999997</v>
      </c>
      <c r="AB34" s="210">
        <f t="shared" si="26"/>
        <v>1422.1000000000001</v>
      </c>
      <c r="AC34" s="210">
        <f>AC28+AC31+AC32+AC33</f>
        <v>1531.2</v>
      </c>
      <c r="AD34" s="211">
        <f>AD28+AD31+AD32+AD33</f>
        <v>1568.8999999999999</v>
      </c>
      <c r="AE34" s="210">
        <f>AE28+AE31+AE32+AE33</f>
        <v>1546.3999999999996</v>
      </c>
      <c r="AF34" s="210">
        <f>AF28+AF31+AF32+AF33</f>
        <v>1734.7</v>
      </c>
      <c r="AG34" s="210">
        <f>AG28+AG31+AG32+AG33</f>
        <v>1781.3000000000002</v>
      </c>
    </row>
    <row r="35" spans="1:33" ht="12.75">
      <c r="A35" s="38" t="s">
        <v>308</v>
      </c>
      <c r="B35" s="38" t="s">
        <v>103</v>
      </c>
      <c r="C35" s="39">
        <f aca="true" t="shared" si="27" ref="C35:X35">SUM(C36:C37)</f>
        <v>-7.6</v>
      </c>
      <c r="D35" s="40">
        <f t="shared" si="27"/>
        <v>-4.7</v>
      </c>
      <c r="E35" s="40">
        <f t="shared" si="27"/>
        <v>-4.5</v>
      </c>
      <c r="F35" s="40">
        <f t="shared" si="27"/>
        <v>-5.8</v>
      </c>
      <c r="G35" s="39">
        <f t="shared" si="27"/>
        <v>-5.7</v>
      </c>
      <c r="H35" s="40">
        <f t="shared" si="27"/>
        <v>-3.6</v>
      </c>
      <c r="I35" s="40">
        <f t="shared" si="27"/>
        <v>-3.2</v>
      </c>
      <c r="J35" s="41">
        <f t="shared" si="27"/>
        <v>-2</v>
      </c>
      <c r="K35" s="39">
        <f t="shared" si="27"/>
        <v>-2.1</v>
      </c>
      <c r="L35" s="40">
        <f t="shared" si="27"/>
        <v>-1.8</v>
      </c>
      <c r="M35" s="40">
        <f t="shared" si="27"/>
        <v>-2.2</v>
      </c>
      <c r="N35" s="41">
        <f t="shared" si="27"/>
        <v>-1.8</v>
      </c>
      <c r="O35" s="39">
        <f t="shared" si="27"/>
        <v>-1.7</v>
      </c>
      <c r="P35" s="40">
        <f t="shared" si="27"/>
        <v>-1.7</v>
      </c>
      <c r="Q35" s="40">
        <f t="shared" si="27"/>
        <v>-2.1</v>
      </c>
      <c r="R35" s="41">
        <f t="shared" si="27"/>
        <v>-1.9</v>
      </c>
      <c r="S35" s="39">
        <f t="shared" si="27"/>
        <v>-1.4</v>
      </c>
      <c r="T35" s="40">
        <f t="shared" si="27"/>
        <v>-0.2</v>
      </c>
      <c r="U35" s="40">
        <f t="shared" si="27"/>
        <v>-0.3</v>
      </c>
      <c r="V35" s="41">
        <f t="shared" si="27"/>
        <v>-0.3</v>
      </c>
      <c r="W35" s="39">
        <f t="shared" si="27"/>
        <v>-0.4</v>
      </c>
      <c r="X35" s="40">
        <f t="shared" si="27"/>
        <v>-0.7</v>
      </c>
      <c r="Y35" s="40">
        <f aca="true" t="shared" si="28" ref="Y35:AD35">SUM(Y36:Y37)</f>
        <v>-0.4</v>
      </c>
      <c r="Z35" s="41">
        <f t="shared" si="28"/>
        <v>-0.6</v>
      </c>
      <c r="AA35" s="39">
        <f t="shared" si="28"/>
        <v>-0.2</v>
      </c>
      <c r="AB35" s="40">
        <f t="shared" si="28"/>
        <v>-0.3</v>
      </c>
      <c r="AC35" s="40">
        <f t="shared" si="28"/>
        <v>-0.2</v>
      </c>
      <c r="AD35" s="41">
        <f t="shared" si="28"/>
        <v>-0.8</v>
      </c>
      <c r="AE35" s="40">
        <f>SUM(AE36:AE37)</f>
        <v>-2.3</v>
      </c>
      <c r="AF35" s="40">
        <f>SUM(AF36:AF37)</f>
        <v>-1.5</v>
      </c>
      <c r="AG35" s="40">
        <f>SUM(AG36:AG37)</f>
        <v>-0.9</v>
      </c>
    </row>
    <row r="36" spans="1:33" s="118" customFormat="1" ht="12.75">
      <c r="A36" s="116" t="s">
        <v>309</v>
      </c>
      <c r="B36" s="116" t="s">
        <v>104</v>
      </c>
      <c r="C36" s="57">
        <v>-7.6</v>
      </c>
      <c r="D36" s="58">
        <v>-4.7</v>
      </c>
      <c r="E36" s="58">
        <v>-4.5</v>
      </c>
      <c r="F36" s="58">
        <v>-5.8</v>
      </c>
      <c r="G36" s="57">
        <v>-5.7</v>
      </c>
      <c r="H36" s="58">
        <v>-3.6</v>
      </c>
      <c r="I36" s="58">
        <v>-3.2</v>
      </c>
      <c r="J36" s="59">
        <v>-2</v>
      </c>
      <c r="K36" s="57">
        <v>-2.1</v>
      </c>
      <c r="L36" s="58">
        <v>-1.8</v>
      </c>
      <c r="M36" s="58">
        <v>-2.2</v>
      </c>
      <c r="N36" s="59">
        <v>-1.8</v>
      </c>
      <c r="O36" s="57">
        <v>-1.7</v>
      </c>
      <c r="P36" s="58">
        <v>-1.7</v>
      </c>
      <c r="Q36" s="58">
        <v>-2.1</v>
      </c>
      <c r="R36" s="59">
        <v>-1.9</v>
      </c>
      <c r="S36" s="57">
        <v>-1.4</v>
      </c>
      <c r="T36" s="58">
        <v>-0.2</v>
      </c>
      <c r="U36" s="58">
        <v>-0.3</v>
      </c>
      <c r="V36" s="59">
        <v>-0.3</v>
      </c>
      <c r="W36" s="57">
        <v>-0.4</v>
      </c>
      <c r="X36" s="58">
        <v>-0.7</v>
      </c>
      <c r="Y36" s="58">
        <v>-0.4</v>
      </c>
      <c r="Z36" s="59">
        <v>-0.6</v>
      </c>
      <c r="AA36" s="57">
        <v>-0.2</v>
      </c>
      <c r="AB36" s="58">
        <v>-0.3</v>
      </c>
      <c r="AC36" s="58">
        <v>-0.2</v>
      </c>
      <c r="AD36" s="59">
        <v>-0.8</v>
      </c>
      <c r="AE36" s="58">
        <v>-2.3</v>
      </c>
      <c r="AF36" s="58">
        <v>-1.5</v>
      </c>
      <c r="AG36" s="58">
        <v>-0.9</v>
      </c>
    </row>
    <row r="37" spans="1:33" s="118" customFormat="1" ht="12.75" hidden="1">
      <c r="A37" s="116" t="s">
        <v>310</v>
      </c>
      <c r="B37" s="116" t="s">
        <v>105</v>
      </c>
      <c r="C37" s="57">
        <v>0</v>
      </c>
      <c r="D37" s="58">
        <v>0</v>
      </c>
      <c r="E37" s="58">
        <v>0</v>
      </c>
      <c r="F37" s="58">
        <v>0</v>
      </c>
      <c r="G37" s="57">
        <v>0</v>
      </c>
      <c r="H37" s="58">
        <v>0</v>
      </c>
      <c r="I37" s="58">
        <v>0</v>
      </c>
      <c r="J37" s="59">
        <v>0</v>
      </c>
      <c r="K37" s="57">
        <v>0</v>
      </c>
      <c r="L37" s="58">
        <v>0</v>
      </c>
      <c r="M37" s="58">
        <v>0</v>
      </c>
      <c r="N37" s="59">
        <v>0</v>
      </c>
      <c r="O37" s="57">
        <v>0</v>
      </c>
      <c r="P37" s="58">
        <v>0</v>
      </c>
      <c r="Q37" s="58">
        <v>0</v>
      </c>
      <c r="R37" s="59">
        <v>0</v>
      </c>
      <c r="S37" s="57">
        <v>0</v>
      </c>
      <c r="T37" s="58">
        <v>0</v>
      </c>
      <c r="U37" s="58">
        <v>0</v>
      </c>
      <c r="V37" s="59">
        <v>0</v>
      </c>
      <c r="W37" s="57">
        <v>0</v>
      </c>
      <c r="X37" s="58">
        <v>0</v>
      </c>
      <c r="Y37" s="58">
        <v>0</v>
      </c>
      <c r="Z37" s="59">
        <v>0</v>
      </c>
      <c r="AA37" s="57">
        <v>0</v>
      </c>
      <c r="AB37" s="58">
        <v>0</v>
      </c>
      <c r="AC37" s="58">
        <v>0</v>
      </c>
      <c r="AD37" s="59">
        <v>0</v>
      </c>
      <c r="AE37" s="58">
        <v>0</v>
      </c>
      <c r="AF37" s="58"/>
      <c r="AG37" s="58"/>
    </row>
    <row r="38" spans="1:33" s="13" customFormat="1" ht="12.75">
      <c r="A38" s="99" t="s">
        <v>319</v>
      </c>
      <c r="B38" s="99" t="s">
        <v>111</v>
      </c>
      <c r="C38" s="94">
        <f aca="true" t="shared" si="29" ref="C38:X38">C34+C35</f>
        <v>2250.1000000000004</v>
      </c>
      <c r="D38" s="95">
        <f t="shared" si="29"/>
        <v>2122.5</v>
      </c>
      <c r="E38" s="95">
        <f t="shared" si="29"/>
        <v>2125.7</v>
      </c>
      <c r="F38" s="95">
        <f t="shared" si="29"/>
        <v>2336.7999999999997</v>
      </c>
      <c r="G38" s="94">
        <f t="shared" si="29"/>
        <v>2551.2000000000003</v>
      </c>
      <c r="H38" s="95">
        <f t="shared" si="29"/>
        <v>2702.2</v>
      </c>
      <c r="I38" s="95">
        <f t="shared" si="29"/>
        <v>3069.0000000000005</v>
      </c>
      <c r="J38" s="96">
        <f t="shared" si="29"/>
        <v>3021.2999999999997</v>
      </c>
      <c r="K38" s="94">
        <f t="shared" si="29"/>
        <v>2968.2000000000003</v>
      </c>
      <c r="L38" s="95">
        <f t="shared" si="29"/>
        <v>2833.2999999999997</v>
      </c>
      <c r="M38" s="95">
        <f t="shared" si="29"/>
        <v>2809.5000000000005</v>
      </c>
      <c r="N38" s="96">
        <f t="shared" si="29"/>
        <v>2695.2</v>
      </c>
      <c r="O38" s="94">
        <f t="shared" si="29"/>
        <v>2513</v>
      </c>
      <c r="P38" s="95">
        <f t="shared" si="29"/>
        <v>2547.9</v>
      </c>
      <c r="Q38" s="95">
        <f t="shared" si="29"/>
        <v>2580.1</v>
      </c>
      <c r="R38" s="96">
        <f t="shared" si="29"/>
        <v>2666.2999999999997</v>
      </c>
      <c r="S38" s="94">
        <f t="shared" si="29"/>
        <v>2664.8999999999996</v>
      </c>
      <c r="T38" s="95">
        <f t="shared" si="29"/>
        <v>2868.7000000000003</v>
      </c>
      <c r="U38" s="95">
        <f t="shared" si="29"/>
        <v>2873.2</v>
      </c>
      <c r="V38" s="96">
        <f t="shared" si="29"/>
        <v>2908.8999999999996</v>
      </c>
      <c r="W38" s="94">
        <f t="shared" si="29"/>
        <v>1248.9</v>
      </c>
      <c r="X38" s="95">
        <f t="shared" si="29"/>
        <v>1377.1000000000001</v>
      </c>
      <c r="Y38" s="95">
        <f aca="true" t="shared" si="30" ref="Y38:AD38">Y34+Y35</f>
        <v>1525.4999999999995</v>
      </c>
      <c r="Z38" s="96">
        <f t="shared" si="30"/>
        <v>1645.3999999999999</v>
      </c>
      <c r="AA38" s="94">
        <f t="shared" si="30"/>
        <v>1405.8999999999996</v>
      </c>
      <c r="AB38" s="95">
        <f t="shared" si="30"/>
        <v>1421.8000000000002</v>
      </c>
      <c r="AC38" s="95">
        <f t="shared" si="30"/>
        <v>1531</v>
      </c>
      <c r="AD38" s="96">
        <f t="shared" si="30"/>
        <v>1568.1</v>
      </c>
      <c r="AE38" s="95">
        <f>AE34+AE35</f>
        <v>1544.0999999999997</v>
      </c>
      <c r="AF38" s="95">
        <f>AF34+AF35</f>
        <v>1733.2</v>
      </c>
      <c r="AG38" s="95">
        <f>AG34+AG35</f>
        <v>1780.4</v>
      </c>
    </row>
    <row r="39" spans="1:33" ht="12.75">
      <c r="A39" s="110"/>
      <c r="B39" s="110"/>
      <c r="C39" s="39"/>
      <c r="D39" s="40"/>
      <c r="E39" s="40"/>
      <c r="F39" s="40"/>
      <c r="G39" s="39"/>
      <c r="H39" s="40"/>
      <c r="I39" s="40"/>
      <c r="J39" s="41"/>
      <c r="K39" s="39"/>
      <c r="L39" s="40"/>
      <c r="M39" s="40"/>
      <c r="N39" s="41"/>
      <c r="O39" s="39"/>
      <c r="P39" s="40"/>
      <c r="Q39" s="40"/>
      <c r="R39" s="41"/>
      <c r="S39" s="39"/>
      <c r="T39" s="40"/>
      <c r="U39" s="40"/>
      <c r="V39" s="41"/>
      <c r="W39" s="39"/>
      <c r="X39" s="40"/>
      <c r="Y39" s="40"/>
      <c r="Z39" s="41"/>
      <c r="AA39" s="39"/>
      <c r="AB39" s="40"/>
      <c r="AC39" s="40"/>
      <c r="AD39" s="41"/>
      <c r="AE39" s="40"/>
      <c r="AF39" s="40"/>
      <c r="AG39" s="40"/>
    </row>
    <row r="40" spans="1:33" s="12" customFormat="1" ht="12">
      <c r="A40" s="201" t="s">
        <v>320</v>
      </c>
      <c r="B40" s="201" t="s">
        <v>112</v>
      </c>
      <c r="C40" s="202"/>
      <c r="D40" s="203"/>
      <c r="E40" s="203"/>
      <c r="F40" s="203"/>
      <c r="G40" s="202"/>
      <c r="H40" s="203"/>
      <c r="I40" s="203"/>
      <c r="J40" s="204"/>
      <c r="K40" s="202"/>
      <c r="L40" s="203"/>
      <c r="M40" s="203"/>
      <c r="N40" s="204"/>
      <c r="O40" s="202"/>
      <c r="P40" s="203"/>
      <c r="Q40" s="203"/>
      <c r="R40" s="204"/>
      <c r="S40" s="202"/>
      <c r="T40" s="203"/>
      <c r="U40" s="203"/>
      <c r="V40" s="204"/>
      <c r="W40" s="202"/>
      <c r="X40" s="203"/>
      <c r="Y40" s="203"/>
      <c r="Z40" s="204"/>
      <c r="AA40" s="202"/>
      <c r="AB40" s="203"/>
      <c r="AC40" s="203"/>
      <c r="AD40" s="204"/>
      <c r="AE40" s="203"/>
      <c r="AF40" s="203"/>
      <c r="AG40" s="203"/>
    </row>
    <row r="41" spans="1:33" ht="12.75">
      <c r="A41" s="38"/>
      <c r="B41" s="38"/>
      <c r="C41" s="39"/>
      <c r="D41" s="40"/>
      <c r="E41" s="40"/>
      <c r="F41" s="40"/>
      <c r="G41" s="39"/>
      <c r="H41" s="40"/>
      <c r="I41" s="40"/>
      <c r="J41" s="41"/>
      <c r="K41" s="39"/>
      <c r="L41" s="40"/>
      <c r="M41" s="40"/>
      <c r="N41" s="41"/>
      <c r="O41" s="39"/>
      <c r="P41" s="40"/>
      <c r="Q41" s="40"/>
      <c r="R41" s="41"/>
      <c r="S41" s="39"/>
      <c r="T41" s="40"/>
      <c r="U41" s="40"/>
      <c r="V41" s="41"/>
      <c r="W41" s="39"/>
      <c r="X41" s="40"/>
      <c r="Y41" s="40"/>
      <c r="Z41" s="41"/>
      <c r="AA41" s="39"/>
      <c r="AB41" s="40"/>
      <c r="AC41" s="40"/>
      <c r="AD41" s="41"/>
      <c r="AE41" s="40"/>
      <c r="AF41" s="40"/>
      <c r="AG41" s="40"/>
    </row>
    <row r="42" spans="1:33" s="13" customFormat="1" ht="12.75">
      <c r="A42" s="37" t="s">
        <v>628</v>
      </c>
      <c r="B42" s="37" t="s">
        <v>589</v>
      </c>
      <c r="C42" s="271">
        <f>SUM(C43,C46:C49)</f>
        <v>7760.700000000001</v>
      </c>
      <c r="D42" s="272">
        <f aca="true" t="shared" si="31" ref="D42:AD42">SUM(D43,D46:D49)</f>
        <v>8279.400000000001</v>
      </c>
      <c r="E42" s="272">
        <f t="shared" si="31"/>
        <v>8634.400000000001</v>
      </c>
      <c r="F42" s="272">
        <f t="shared" si="31"/>
        <v>8962.8</v>
      </c>
      <c r="G42" s="271">
        <f t="shared" si="31"/>
        <v>10012.800000000001</v>
      </c>
      <c r="H42" s="272">
        <f t="shared" si="31"/>
        <v>10660.499999999998</v>
      </c>
      <c r="I42" s="272">
        <f t="shared" si="31"/>
        <v>11965.9</v>
      </c>
      <c r="J42" s="273">
        <f t="shared" si="31"/>
        <v>12908.1</v>
      </c>
      <c r="K42" s="271">
        <f t="shared" si="31"/>
        <v>13534</v>
      </c>
      <c r="L42" s="272">
        <f t="shared" si="31"/>
        <v>13234.2</v>
      </c>
      <c r="M42" s="272">
        <f t="shared" si="31"/>
        <v>12873.8</v>
      </c>
      <c r="N42" s="273">
        <f t="shared" si="31"/>
        <v>12421.5</v>
      </c>
      <c r="O42" s="271">
        <f t="shared" si="31"/>
        <v>12353.699999999999</v>
      </c>
      <c r="P42" s="272">
        <f t="shared" si="31"/>
        <v>12726.800000000001</v>
      </c>
      <c r="Q42" s="272">
        <f t="shared" si="31"/>
        <v>13683</v>
      </c>
      <c r="R42" s="273">
        <f t="shared" si="31"/>
        <v>13674.5</v>
      </c>
      <c r="S42" s="271">
        <f t="shared" si="31"/>
        <v>13933.3</v>
      </c>
      <c r="T42" s="272">
        <f t="shared" si="31"/>
        <v>14792.199999999999</v>
      </c>
      <c r="U42" s="272">
        <f t="shared" si="31"/>
        <v>15971.399999999998</v>
      </c>
      <c r="V42" s="273">
        <f t="shared" si="31"/>
        <v>17432.399999999998</v>
      </c>
      <c r="W42" s="271">
        <f t="shared" si="31"/>
        <v>24312.6</v>
      </c>
      <c r="X42" s="272">
        <f t="shared" si="31"/>
        <v>24402.6</v>
      </c>
      <c r="Y42" s="272">
        <f t="shared" si="31"/>
        <v>24740.799999999996</v>
      </c>
      <c r="Z42" s="273">
        <f t="shared" si="31"/>
        <v>24052.9</v>
      </c>
      <c r="AA42" s="271">
        <f t="shared" si="31"/>
        <v>24203.5</v>
      </c>
      <c r="AB42" s="272">
        <f t="shared" si="31"/>
        <v>25026.4</v>
      </c>
      <c r="AC42" s="272">
        <f t="shared" si="31"/>
        <v>25993.399999999998</v>
      </c>
      <c r="AD42" s="273">
        <f t="shared" si="31"/>
        <v>25951</v>
      </c>
      <c r="AE42" s="272">
        <f>SUM(AE43,AE46:AE49)</f>
        <v>27636.4</v>
      </c>
      <c r="AF42" s="272">
        <f>SUM(AF43,AF46:AF49)</f>
        <v>29345.300000000007</v>
      </c>
      <c r="AG42" s="272">
        <f>SUM(AG43,AG46:AG49)</f>
        <v>30902.3</v>
      </c>
    </row>
    <row r="43" spans="1:33" ht="12.75">
      <c r="A43" s="38" t="s">
        <v>636</v>
      </c>
      <c r="B43" s="38" t="s">
        <v>595</v>
      </c>
      <c r="C43" s="121">
        <f>SUM(C44:C45)</f>
        <v>7497.000000000001</v>
      </c>
      <c r="D43" s="122">
        <f aca="true" t="shared" si="32" ref="D43:X43">SUM(D44:D45)</f>
        <v>8001</v>
      </c>
      <c r="E43" s="122">
        <f t="shared" si="32"/>
        <v>8387.9</v>
      </c>
      <c r="F43" s="122">
        <f t="shared" si="32"/>
        <v>8783.099999999999</v>
      </c>
      <c r="G43" s="121">
        <f t="shared" si="32"/>
        <v>9812.400000000001</v>
      </c>
      <c r="H43" s="122">
        <f t="shared" si="32"/>
        <v>10462.8</v>
      </c>
      <c r="I43" s="122">
        <f t="shared" si="32"/>
        <v>11713</v>
      </c>
      <c r="J43" s="274">
        <f t="shared" si="32"/>
        <v>12153.3</v>
      </c>
      <c r="K43" s="121">
        <f t="shared" si="32"/>
        <v>12665.2</v>
      </c>
      <c r="L43" s="122">
        <f t="shared" si="32"/>
        <v>12407.6</v>
      </c>
      <c r="M43" s="122">
        <f t="shared" si="32"/>
        <v>12236.599999999999</v>
      </c>
      <c r="N43" s="274">
        <f t="shared" si="32"/>
        <v>11871.9</v>
      </c>
      <c r="O43" s="121">
        <f t="shared" si="32"/>
        <v>11873.9</v>
      </c>
      <c r="P43" s="122">
        <f t="shared" si="32"/>
        <v>12198</v>
      </c>
      <c r="Q43" s="122">
        <f t="shared" si="32"/>
        <v>12939.7</v>
      </c>
      <c r="R43" s="274">
        <f t="shared" si="32"/>
        <v>12851.2</v>
      </c>
      <c r="S43" s="121">
        <f t="shared" si="32"/>
        <v>13210.5</v>
      </c>
      <c r="T43" s="122">
        <f t="shared" si="32"/>
        <v>14014.4</v>
      </c>
      <c r="U43" s="122">
        <f t="shared" si="32"/>
        <v>14868.3</v>
      </c>
      <c r="V43" s="274">
        <f t="shared" si="32"/>
        <v>15714.1</v>
      </c>
      <c r="W43" s="121">
        <f t="shared" si="32"/>
        <v>18068.3</v>
      </c>
      <c r="X43" s="122">
        <f t="shared" si="32"/>
        <v>18113.1</v>
      </c>
      <c r="Y43" s="122">
        <f aca="true" t="shared" si="33" ref="Y43:AD43">SUM(Y44:Y45)</f>
        <v>18187.899999999998</v>
      </c>
      <c r="Z43" s="274">
        <f t="shared" si="33"/>
        <v>17364</v>
      </c>
      <c r="AA43" s="121">
        <f t="shared" si="33"/>
        <v>18067.6</v>
      </c>
      <c r="AB43" s="122">
        <f t="shared" si="33"/>
        <v>18288.4</v>
      </c>
      <c r="AC43" s="122">
        <f t="shared" si="33"/>
        <v>18870.2</v>
      </c>
      <c r="AD43" s="274">
        <f t="shared" si="33"/>
        <v>18761.5</v>
      </c>
      <c r="AE43" s="122">
        <f>SUM(AE44:AE45)</f>
        <v>20498.800000000003</v>
      </c>
      <c r="AF43" s="122">
        <f>SUM(AF44:AF45)</f>
        <v>21596.300000000003</v>
      </c>
      <c r="AG43" s="122">
        <f>SUM(AG44:AG45)</f>
        <v>22086</v>
      </c>
    </row>
    <row r="44" spans="1:33" s="118" customFormat="1" ht="12.75">
      <c r="A44" s="56" t="s">
        <v>629</v>
      </c>
      <c r="B44" s="56" t="s">
        <v>109</v>
      </c>
      <c r="C44" s="275">
        <v>2902.5</v>
      </c>
      <c r="D44" s="250">
        <v>3044.2</v>
      </c>
      <c r="E44" s="250">
        <v>3151.5</v>
      </c>
      <c r="F44" s="250">
        <v>3104.3</v>
      </c>
      <c r="G44" s="275">
        <v>3716</v>
      </c>
      <c r="H44" s="250">
        <v>4006.5</v>
      </c>
      <c r="I44" s="250">
        <v>4328.9</v>
      </c>
      <c r="J44" s="276">
        <v>3931.5</v>
      </c>
      <c r="K44" s="275">
        <v>4269</v>
      </c>
      <c r="L44" s="250">
        <v>4301</v>
      </c>
      <c r="M44" s="250">
        <v>4001.9</v>
      </c>
      <c r="N44" s="276">
        <v>3504.5</v>
      </c>
      <c r="O44" s="275">
        <v>3713.8</v>
      </c>
      <c r="P44" s="250">
        <v>3930.5</v>
      </c>
      <c r="Q44" s="250">
        <v>4036.5</v>
      </c>
      <c r="R44" s="276">
        <v>3724.3</v>
      </c>
      <c r="S44" s="275">
        <v>4031.2</v>
      </c>
      <c r="T44" s="250">
        <v>4490.6</v>
      </c>
      <c r="U44" s="250">
        <v>4624</v>
      </c>
      <c r="V44" s="276">
        <v>4316.1</v>
      </c>
      <c r="W44" s="275">
        <v>5179.3</v>
      </c>
      <c r="X44" s="250">
        <v>5409.3</v>
      </c>
      <c r="Y44" s="250">
        <v>5440.7</v>
      </c>
      <c r="Z44" s="276">
        <v>4978.3</v>
      </c>
      <c r="AA44" s="275">
        <v>5169.5</v>
      </c>
      <c r="AB44" s="250">
        <v>5223</v>
      </c>
      <c r="AC44" s="250">
        <v>5612.6</v>
      </c>
      <c r="AD44" s="276">
        <v>5223</v>
      </c>
      <c r="AE44" s="250">
        <v>6031.1</v>
      </c>
      <c r="AF44" s="250">
        <v>6192.6</v>
      </c>
      <c r="AG44" s="250">
        <v>6139.8</v>
      </c>
    </row>
    <row r="45" spans="1:33" s="118" customFormat="1" ht="12.75">
      <c r="A45" s="56" t="s">
        <v>630</v>
      </c>
      <c r="B45" s="56" t="s">
        <v>110</v>
      </c>
      <c r="C45" s="275">
        <f>4736.6+24.1-24.2-142</f>
        <v>4594.500000000001</v>
      </c>
      <c r="D45" s="250">
        <f>5101.5+19-20.9-142.8</f>
        <v>4956.8</v>
      </c>
      <c r="E45" s="250">
        <f>5353.9+24.4-24.7-117.2</f>
        <v>5236.4</v>
      </c>
      <c r="F45" s="250">
        <f>5801.4-122.6</f>
        <v>5678.799999999999</v>
      </c>
      <c r="G45" s="275">
        <f>6219.3-122.9</f>
        <v>6096.400000000001</v>
      </c>
      <c r="H45" s="250">
        <f>6585.1-128.8</f>
        <v>6456.3</v>
      </c>
      <c r="I45" s="250">
        <f>7552.9-168.8</f>
        <v>7384.099999999999</v>
      </c>
      <c r="J45" s="276">
        <f>8380.5-158.7</f>
        <v>8221.8</v>
      </c>
      <c r="K45" s="275">
        <f>8661.6-265.4</f>
        <v>8396.2</v>
      </c>
      <c r="L45" s="250">
        <f>8356.6-250</f>
        <v>8106.6</v>
      </c>
      <c r="M45" s="250">
        <f>8407.4-172.7</f>
        <v>8234.699999999999</v>
      </c>
      <c r="N45" s="276">
        <f>8537.8-170.4</f>
        <v>8367.4</v>
      </c>
      <c r="O45" s="275">
        <f>8297.4-137.3</f>
        <v>8160.099999999999</v>
      </c>
      <c r="P45" s="250">
        <f>8432.1-164.6</f>
        <v>8267.5</v>
      </c>
      <c r="Q45" s="250">
        <f>9055-151.8</f>
        <v>8903.2</v>
      </c>
      <c r="R45" s="276">
        <f>9126.9</f>
        <v>9126.9</v>
      </c>
      <c r="S45" s="275">
        <v>9179.300000000001</v>
      </c>
      <c r="T45" s="250">
        <v>9523.8</v>
      </c>
      <c r="U45" s="250">
        <v>10244.3</v>
      </c>
      <c r="V45" s="276">
        <v>11398</v>
      </c>
      <c r="W45" s="275">
        <v>12889</v>
      </c>
      <c r="X45" s="250">
        <v>12703.8</v>
      </c>
      <c r="Y45" s="250">
        <v>12747.199999999999</v>
      </c>
      <c r="Z45" s="276">
        <v>12385.7</v>
      </c>
      <c r="AA45" s="275">
        <v>12898.099999999999</v>
      </c>
      <c r="AB45" s="250">
        <v>13065.4</v>
      </c>
      <c r="AC45" s="250">
        <v>13257.6</v>
      </c>
      <c r="AD45" s="276">
        <v>13538.499999999998</v>
      </c>
      <c r="AE45" s="250">
        <v>14467.7</v>
      </c>
      <c r="AF45" s="250">
        <v>15403.7</v>
      </c>
      <c r="AG45" s="250">
        <v>15946.2</v>
      </c>
    </row>
    <row r="46" spans="1:33" ht="12.75">
      <c r="A46" s="38" t="s">
        <v>617</v>
      </c>
      <c r="B46" s="38" t="s">
        <v>596</v>
      </c>
      <c r="C46" s="121">
        <v>0</v>
      </c>
      <c r="D46" s="122">
        <v>0</v>
      </c>
      <c r="E46" s="122">
        <v>0</v>
      </c>
      <c r="F46" s="122">
        <v>0</v>
      </c>
      <c r="G46" s="121">
        <v>0</v>
      </c>
      <c r="H46" s="122">
        <v>0</v>
      </c>
      <c r="I46" s="122">
        <v>0</v>
      </c>
      <c r="J46" s="274">
        <v>0</v>
      </c>
      <c r="K46" s="121">
        <v>0</v>
      </c>
      <c r="L46" s="122">
        <v>0</v>
      </c>
      <c r="M46" s="122">
        <v>0</v>
      </c>
      <c r="N46" s="274">
        <v>0</v>
      </c>
      <c r="O46" s="121">
        <v>0</v>
      </c>
      <c r="P46" s="122">
        <v>0</v>
      </c>
      <c r="Q46" s="122">
        <v>0</v>
      </c>
      <c r="R46" s="274">
        <v>0</v>
      </c>
      <c r="S46" s="121">
        <v>0</v>
      </c>
      <c r="T46" s="122">
        <v>0</v>
      </c>
      <c r="U46" s="122">
        <v>0</v>
      </c>
      <c r="V46" s="274">
        <v>0</v>
      </c>
      <c r="W46" s="121">
        <v>2898.1</v>
      </c>
      <c r="X46" s="122">
        <v>2922.1</v>
      </c>
      <c r="Y46" s="122">
        <v>3054.7999999999997</v>
      </c>
      <c r="Z46" s="274">
        <v>3132.8</v>
      </c>
      <c r="AA46" s="121">
        <v>3151.4</v>
      </c>
      <c r="AB46" s="122">
        <v>3276.4</v>
      </c>
      <c r="AC46" s="122">
        <v>3395</v>
      </c>
      <c r="AD46" s="274">
        <v>3509.9</v>
      </c>
      <c r="AE46" s="122">
        <v>3537.3</v>
      </c>
      <c r="AF46" s="122">
        <v>3886.4</v>
      </c>
      <c r="AG46" s="122">
        <v>3932.2</v>
      </c>
    </row>
    <row r="47" spans="1:33" ht="12.75">
      <c r="A47" s="38" t="s">
        <v>618</v>
      </c>
      <c r="B47" s="38" t="s">
        <v>597</v>
      </c>
      <c r="C47" s="121">
        <v>142</v>
      </c>
      <c r="D47" s="122">
        <v>142.8</v>
      </c>
      <c r="E47" s="122">
        <v>117.2</v>
      </c>
      <c r="F47" s="122">
        <v>122.6</v>
      </c>
      <c r="G47" s="121">
        <v>122.9</v>
      </c>
      <c r="H47" s="122">
        <v>128.8</v>
      </c>
      <c r="I47" s="122">
        <v>168.8</v>
      </c>
      <c r="J47" s="274">
        <v>158.7</v>
      </c>
      <c r="K47" s="121">
        <v>265.4</v>
      </c>
      <c r="L47" s="122">
        <v>250</v>
      </c>
      <c r="M47" s="122">
        <v>172.7</v>
      </c>
      <c r="N47" s="274">
        <v>170.4</v>
      </c>
      <c r="O47" s="121">
        <v>137.3</v>
      </c>
      <c r="P47" s="122">
        <v>164.6</v>
      </c>
      <c r="Q47" s="122">
        <v>151.8</v>
      </c>
      <c r="R47" s="274">
        <v>112.8</v>
      </c>
      <c r="S47" s="121">
        <v>99.4</v>
      </c>
      <c r="T47" s="122">
        <v>183</v>
      </c>
      <c r="U47" s="122">
        <v>264.3</v>
      </c>
      <c r="V47" s="274">
        <v>255.1</v>
      </c>
      <c r="W47" s="121">
        <v>1837.5</v>
      </c>
      <c r="X47" s="122">
        <v>2063.1</v>
      </c>
      <c r="Y47" s="122">
        <v>1982</v>
      </c>
      <c r="Z47" s="274">
        <v>2168.2</v>
      </c>
      <c r="AA47" s="121">
        <v>1928.4</v>
      </c>
      <c r="AB47" s="122">
        <v>2194.6000000000004</v>
      </c>
      <c r="AC47" s="122">
        <v>2408.3999999999996</v>
      </c>
      <c r="AD47" s="274">
        <v>2416.5</v>
      </c>
      <c r="AE47" s="122">
        <v>2314.5</v>
      </c>
      <c r="AF47" s="122">
        <v>2565.0000000000005</v>
      </c>
      <c r="AG47" s="122">
        <v>2811.1</v>
      </c>
    </row>
    <row r="48" spans="1:33" ht="12.75">
      <c r="A48" s="38" t="s">
        <v>631</v>
      </c>
      <c r="B48" s="38" t="s">
        <v>598</v>
      </c>
      <c r="C48" s="121">
        <v>108.5</v>
      </c>
      <c r="D48" s="122">
        <f>101.4</f>
        <v>101.4</v>
      </c>
      <c r="E48" s="122">
        <v>96.6</v>
      </c>
      <c r="F48" s="122">
        <v>13.5</v>
      </c>
      <c r="G48" s="121">
        <v>13.5</v>
      </c>
      <c r="H48" s="122">
        <v>13.5</v>
      </c>
      <c r="I48" s="122">
        <v>13.5</v>
      </c>
      <c r="J48" s="274">
        <v>559.4</v>
      </c>
      <c r="K48" s="121">
        <v>552.3</v>
      </c>
      <c r="L48" s="122">
        <v>534</v>
      </c>
      <c r="M48" s="122">
        <v>440.5</v>
      </c>
      <c r="N48" s="274">
        <v>306.5</v>
      </c>
      <c r="O48" s="121">
        <v>304.3</v>
      </c>
      <c r="P48" s="122">
        <v>306.7</v>
      </c>
      <c r="Q48" s="122">
        <v>566.5</v>
      </c>
      <c r="R48" s="274">
        <v>646.6</v>
      </c>
      <c r="S48" s="121">
        <v>584.8</v>
      </c>
      <c r="T48" s="122">
        <v>537.5</v>
      </c>
      <c r="U48" s="122">
        <v>800.8</v>
      </c>
      <c r="V48" s="274">
        <v>1446.1</v>
      </c>
      <c r="W48" s="121">
        <v>1493</v>
      </c>
      <c r="X48" s="122">
        <v>1289.9</v>
      </c>
      <c r="Y48" s="122">
        <v>1472.5</v>
      </c>
      <c r="Z48" s="274">
        <v>1376</v>
      </c>
      <c r="AA48" s="121">
        <v>1042.3</v>
      </c>
      <c r="AB48" s="122">
        <v>1238.5</v>
      </c>
      <c r="AC48" s="122">
        <v>1302.6</v>
      </c>
      <c r="AD48" s="274">
        <v>1244.8</v>
      </c>
      <c r="AE48" s="122">
        <v>1269.5</v>
      </c>
      <c r="AF48" s="122">
        <v>1276.7</v>
      </c>
      <c r="AG48" s="122">
        <v>1840</v>
      </c>
    </row>
    <row r="49" spans="1:33" ht="12.75">
      <c r="A49" s="38" t="s">
        <v>637</v>
      </c>
      <c r="B49" s="38" t="s">
        <v>599</v>
      </c>
      <c r="C49" s="121">
        <v>13.199999999999989</v>
      </c>
      <c r="D49" s="122">
        <v>34.2</v>
      </c>
      <c r="E49" s="122">
        <v>32.7</v>
      </c>
      <c r="F49" s="122">
        <v>43.6</v>
      </c>
      <c r="G49" s="121">
        <v>64</v>
      </c>
      <c r="H49" s="122">
        <v>55.4</v>
      </c>
      <c r="I49" s="122">
        <v>70.60000000000001</v>
      </c>
      <c r="J49" s="274">
        <v>36.7</v>
      </c>
      <c r="K49" s="121">
        <v>51.1</v>
      </c>
      <c r="L49" s="122">
        <v>42.599999999999994</v>
      </c>
      <c r="M49" s="122">
        <v>24</v>
      </c>
      <c r="N49" s="274">
        <v>72.7</v>
      </c>
      <c r="O49" s="121">
        <v>38.2</v>
      </c>
      <c r="P49" s="122">
        <v>57.5</v>
      </c>
      <c r="Q49" s="122">
        <v>25</v>
      </c>
      <c r="R49" s="274">
        <v>63.9</v>
      </c>
      <c r="S49" s="121">
        <v>38.599999999999994</v>
      </c>
      <c r="T49" s="122">
        <v>57.300000000000004</v>
      </c>
      <c r="U49" s="122">
        <v>38</v>
      </c>
      <c r="V49" s="274">
        <v>17.1</v>
      </c>
      <c r="W49" s="121">
        <v>15.7</v>
      </c>
      <c r="X49" s="122">
        <v>14.4</v>
      </c>
      <c r="Y49" s="122">
        <v>43.599999999999994</v>
      </c>
      <c r="Z49" s="274">
        <v>11.9</v>
      </c>
      <c r="AA49" s="121">
        <v>13.8</v>
      </c>
      <c r="AB49" s="122">
        <v>28.5</v>
      </c>
      <c r="AC49" s="122">
        <v>17.200000000000003</v>
      </c>
      <c r="AD49" s="274">
        <v>18.299999999999997</v>
      </c>
      <c r="AE49" s="122">
        <v>16.3</v>
      </c>
      <c r="AF49" s="122">
        <v>20.9</v>
      </c>
      <c r="AG49" s="122">
        <v>233</v>
      </c>
    </row>
    <row r="50" spans="1:33" s="13" customFormat="1" ht="12.75">
      <c r="A50" s="37" t="s">
        <v>632</v>
      </c>
      <c r="B50" s="37" t="s">
        <v>592</v>
      </c>
      <c r="C50" s="271">
        <f>SUM(C51,C54:C56)</f>
        <v>3807.8999999999996</v>
      </c>
      <c r="D50" s="272">
        <f aca="true" t="shared" si="34" ref="D50:AD50">SUM(D51,D54:D56)</f>
        <v>4182.900000000001</v>
      </c>
      <c r="E50" s="272">
        <f t="shared" si="34"/>
        <v>4627.9</v>
      </c>
      <c r="F50" s="272">
        <f t="shared" si="34"/>
        <v>4937.9</v>
      </c>
      <c r="G50" s="271">
        <f t="shared" si="34"/>
        <v>5373.5</v>
      </c>
      <c r="H50" s="272">
        <f t="shared" si="34"/>
        <v>5931.5</v>
      </c>
      <c r="I50" s="272">
        <f t="shared" si="34"/>
        <v>6603.6</v>
      </c>
      <c r="J50" s="273">
        <f t="shared" si="34"/>
        <v>7446.499999999999</v>
      </c>
      <c r="K50" s="271">
        <f t="shared" si="34"/>
        <v>8253.1</v>
      </c>
      <c r="L50" s="272">
        <f t="shared" si="34"/>
        <v>8827.9</v>
      </c>
      <c r="M50" s="272">
        <f t="shared" si="34"/>
        <v>9336.9</v>
      </c>
      <c r="N50" s="273">
        <f t="shared" si="34"/>
        <v>9822.8</v>
      </c>
      <c r="O50" s="271">
        <f t="shared" si="34"/>
        <v>10282.6</v>
      </c>
      <c r="P50" s="272">
        <f t="shared" si="34"/>
        <v>11110.7</v>
      </c>
      <c r="Q50" s="272">
        <f t="shared" si="34"/>
        <v>11647.300000000001</v>
      </c>
      <c r="R50" s="273">
        <f t="shared" si="34"/>
        <v>12631.3</v>
      </c>
      <c r="S50" s="271">
        <f t="shared" si="34"/>
        <v>13278</v>
      </c>
      <c r="T50" s="272">
        <f t="shared" si="34"/>
        <v>14035</v>
      </c>
      <c r="U50" s="272">
        <f t="shared" si="34"/>
        <v>14804.8</v>
      </c>
      <c r="V50" s="273">
        <f t="shared" si="34"/>
        <v>15315.699999999999</v>
      </c>
      <c r="W50" s="271">
        <f t="shared" si="34"/>
        <v>15619.9</v>
      </c>
      <c r="X50" s="272">
        <f t="shared" si="34"/>
        <v>16218.9</v>
      </c>
      <c r="Y50" s="272">
        <f t="shared" si="34"/>
        <v>16721.5</v>
      </c>
      <c r="Z50" s="273">
        <f t="shared" si="34"/>
        <v>17019.899999999998</v>
      </c>
      <c r="AA50" s="271">
        <f t="shared" si="34"/>
        <v>17329.699999999997</v>
      </c>
      <c r="AB50" s="272">
        <f t="shared" si="34"/>
        <v>18116.800000000003</v>
      </c>
      <c r="AC50" s="272">
        <f t="shared" si="34"/>
        <v>18766</v>
      </c>
      <c r="AD50" s="273">
        <f t="shared" si="34"/>
        <v>19015.899999999998</v>
      </c>
      <c r="AE50" s="272">
        <f>SUM(AE51,AE54:AE56)</f>
        <v>19748.6</v>
      </c>
      <c r="AF50" s="272">
        <f>SUM(AF51,AF54:AF56)</f>
        <v>20601.800000000003</v>
      </c>
      <c r="AG50" s="272">
        <f>SUM(AG51,AG54:AG56)</f>
        <v>21792.899999999998</v>
      </c>
    </row>
    <row r="51" spans="1:33" ht="12.75">
      <c r="A51" s="38" t="s">
        <v>636</v>
      </c>
      <c r="B51" s="38" t="s">
        <v>595</v>
      </c>
      <c r="C51" s="121">
        <f>SUM(C52:C53)</f>
        <v>3801.8999999999996</v>
      </c>
      <c r="D51" s="122">
        <f aca="true" t="shared" si="35" ref="D51:X51">SUM(D52:D53)</f>
        <v>4176.400000000001</v>
      </c>
      <c r="E51" s="122">
        <f t="shared" si="35"/>
        <v>4618.599999999999</v>
      </c>
      <c r="F51" s="122">
        <f t="shared" si="35"/>
        <v>4930.9</v>
      </c>
      <c r="G51" s="121">
        <f t="shared" si="35"/>
        <v>5364.5</v>
      </c>
      <c r="H51" s="122">
        <f t="shared" si="35"/>
        <v>5925.4</v>
      </c>
      <c r="I51" s="122">
        <f t="shared" si="35"/>
        <v>6595.5</v>
      </c>
      <c r="J51" s="274">
        <f t="shared" si="35"/>
        <v>7441.199999999999</v>
      </c>
      <c r="K51" s="121">
        <f t="shared" si="35"/>
        <v>8247.7</v>
      </c>
      <c r="L51" s="122">
        <f t="shared" si="35"/>
        <v>8823.1</v>
      </c>
      <c r="M51" s="122">
        <f t="shared" si="35"/>
        <v>9331.1</v>
      </c>
      <c r="N51" s="274">
        <f t="shared" si="35"/>
        <v>9817.599999999999</v>
      </c>
      <c r="O51" s="121">
        <f t="shared" si="35"/>
        <v>10275.300000000001</v>
      </c>
      <c r="P51" s="122">
        <f t="shared" si="35"/>
        <v>11101.800000000001</v>
      </c>
      <c r="Q51" s="122">
        <f t="shared" si="35"/>
        <v>11637.7</v>
      </c>
      <c r="R51" s="274">
        <f t="shared" si="35"/>
        <v>12623.199999999999</v>
      </c>
      <c r="S51" s="121">
        <f t="shared" si="35"/>
        <v>13270.4</v>
      </c>
      <c r="T51" s="122">
        <f t="shared" si="35"/>
        <v>14019.5</v>
      </c>
      <c r="U51" s="122">
        <f t="shared" si="35"/>
        <v>14786.3</v>
      </c>
      <c r="V51" s="274">
        <f t="shared" si="35"/>
        <v>15297.199999999999</v>
      </c>
      <c r="W51" s="121">
        <f t="shared" si="35"/>
        <v>15567.4</v>
      </c>
      <c r="X51" s="122">
        <f t="shared" si="35"/>
        <v>16148.6</v>
      </c>
      <c r="Y51" s="122">
        <f aca="true" t="shared" si="36" ref="Y51:AD51">SUM(Y52:Y53)</f>
        <v>16632.399999999998</v>
      </c>
      <c r="Z51" s="274">
        <f t="shared" si="36"/>
        <v>16910.1</v>
      </c>
      <c r="AA51" s="121">
        <f t="shared" si="36"/>
        <v>17219</v>
      </c>
      <c r="AB51" s="122">
        <f t="shared" si="36"/>
        <v>17985.4</v>
      </c>
      <c r="AC51" s="122">
        <f t="shared" si="36"/>
        <v>18601.9</v>
      </c>
      <c r="AD51" s="274">
        <f t="shared" si="36"/>
        <v>18842.6</v>
      </c>
      <c r="AE51" s="122">
        <f>SUM(AE52:AE53)</f>
        <v>19410</v>
      </c>
      <c r="AF51" s="122">
        <f>SUM(AF52:AF53)</f>
        <v>20220.600000000002</v>
      </c>
      <c r="AG51" s="122">
        <f>SUM(AG52:AG53)</f>
        <v>21377.399999999998</v>
      </c>
    </row>
    <row r="52" spans="1:33" s="118" customFormat="1" ht="12.75">
      <c r="A52" s="56" t="s">
        <v>629</v>
      </c>
      <c r="B52" s="56" t="s">
        <v>109</v>
      </c>
      <c r="C52" s="275">
        <v>951.1</v>
      </c>
      <c r="D52" s="250">
        <v>997.6</v>
      </c>
      <c r="E52" s="250">
        <v>1014.1</v>
      </c>
      <c r="F52" s="250">
        <v>968.5</v>
      </c>
      <c r="G52" s="275">
        <v>1028.5</v>
      </c>
      <c r="H52" s="250">
        <v>1102.8</v>
      </c>
      <c r="I52" s="250">
        <v>1144.9</v>
      </c>
      <c r="J52" s="276">
        <v>1091.6</v>
      </c>
      <c r="K52" s="275">
        <v>1187.5</v>
      </c>
      <c r="L52" s="250">
        <v>1238.7</v>
      </c>
      <c r="M52" s="250">
        <v>1266.1</v>
      </c>
      <c r="N52" s="276">
        <v>1227</v>
      </c>
      <c r="O52" s="275">
        <v>1316.1</v>
      </c>
      <c r="P52" s="250">
        <v>1308</v>
      </c>
      <c r="Q52" s="250">
        <v>1354.2</v>
      </c>
      <c r="R52" s="276">
        <v>1255.8</v>
      </c>
      <c r="S52" s="275">
        <v>1341.8</v>
      </c>
      <c r="T52" s="250">
        <v>1356.8</v>
      </c>
      <c r="U52" s="250">
        <v>1341.5</v>
      </c>
      <c r="V52" s="276">
        <v>1311.3</v>
      </c>
      <c r="W52" s="275">
        <v>1367.8</v>
      </c>
      <c r="X52" s="250">
        <v>1410.3999999999999</v>
      </c>
      <c r="Y52" s="250">
        <v>1401.6</v>
      </c>
      <c r="Z52" s="276">
        <v>1379</v>
      </c>
      <c r="AA52" s="275">
        <v>1380.6</v>
      </c>
      <c r="AB52" s="250">
        <v>1414.4</v>
      </c>
      <c r="AC52" s="250">
        <v>1456.9</v>
      </c>
      <c r="AD52" s="276">
        <v>1435.5</v>
      </c>
      <c r="AE52" s="250">
        <v>1511.7</v>
      </c>
      <c r="AF52" s="250">
        <v>1549.4</v>
      </c>
      <c r="AG52" s="250">
        <v>1569.1999999999998</v>
      </c>
    </row>
    <row r="53" spans="1:33" s="118" customFormat="1" ht="12.75">
      <c r="A53" s="56" t="s">
        <v>630</v>
      </c>
      <c r="B53" s="56" t="s">
        <v>110</v>
      </c>
      <c r="C53" s="275">
        <f>2832.6+24.2-6</f>
        <v>2850.7999999999997</v>
      </c>
      <c r="D53" s="250">
        <f>3164.4+20.9-6.5</f>
        <v>3178.8</v>
      </c>
      <c r="E53" s="250">
        <f>3589.1+24.7-9.3</f>
        <v>3604.4999999999995</v>
      </c>
      <c r="F53" s="250">
        <f>3969.4-7</f>
        <v>3962.4</v>
      </c>
      <c r="G53" s="275">
        <f>4345-9</f>
        <v>4336</v>
      </c>
      <c r="H53" s="250">
        <f>4828.7-6.1</f>
        <v>4822.599999999999</v>
      </c>
      <c r="I53" s="250">
        <f>5458.7-8.1</f>
        <v>5450.599999999999</v>
      </c>
      <c r="J53" s="276">
        <f>6354.9-5.3</f>
        <v>6349.599999999999</v>
      </c>
      <c r="K53" s="275">
        <f>7065.6-5.4</f>
        <v>7060.200000000001</v>
      </c>
      <c r="L53" s="250">
        <f>7589.2-4.8</f>
        <v>7584.4</v>
      </c>
      <c r="M53" s="250">
        <f>8070.8-5.8</f>
        <v>8065</v>
      </c>
      <c r="N53" s="276">
        <f>8595.8-5.2</f>
        <v>8590.599999999999</v>
      </c>
      <c r="O53" s="275">
        <f>8966.5-7.3</f>
        <v>8959.2</v>
      </c>
      <c r="P53" s="250">
        <f>9802.2-8.4</f>
        <v>9793.800000000001</v>
      </c>
      <c r="Q53" s="250">
        <f>10292.6-9.1</f>
        <v>10283.5</v>
      </c>
      <c r="R53" s="276">
        <v>11367.4</v>
      </c>
      <c r="S53" s="275">
        <v>11928.6</v>
      </c>
      <c r="T53" s="250">
        <v>12662.7</v>
      </c>
      <c r="U53" s="250">
        <v>13444.8</v>
      </c>
      <c r="V53" s="276">
        <v>13985.9</v>
      </c>
      <c r="W53" s="275">
        <v>14199.6</v>
      </c>
      <c r="X53" s="250">
        <v>14738.2</v>
      </c>
      <c r="Y53" s="250">
        <v>15230.8</v>
      </c>
      <c r="Z53" s="276">
        <v>15531.1</v>
      </c>
      <c r="AA53" s="275">
        <v>15838.4</v>
      </c>
      <c r="AB53" s="250">
        <v>16571</v>
      </c>
      <c r="AC53" s="250">
        <v>17145</v>
      </c>
      <c r="AD53" s="276">
        <v>17407.1</v>
      </c>
      <c r="AE53" s="250">
        <v>17898.3</v>
      </c>
      <c r="AF53" s="250">
        <v>18671.2</v>
      </c>
      <c r="AG53" s="250">
        <v>19808.199999999997</v>
      </c>
    </row>
    <row r="54" spans="1:33" ht="12.75">
      <c r="A54" s="38" t="s">
        <v>617</v>
      </c>
      <c r="B54" s="38" t="s">
        <v>596</v>
      </c>
      <c r="C54" s="121">
        <v>0</v>
      </c>
      <c r="D54" s="122">
        <v>0</v>
      </c>
      <c r="E54" s="122">
        <v>0</v>
      </c>
      <c r="F54" s="122">
        <v>0</v>
      </c>
      <c r="G54" s="121">
        <v>0</v>
      </c>
      <c r="H54" s="122">
        <v>0</v>
      </c>
      <c r="I54" s="122">
        <v>0</v>
      </c>
      <c r="J54" s="274">
        <v>0</v>
      </c>
      <c r="K54" s="121">
        <v>0</v>
      </c>
      <c r="L54" s="122">
        <v>0</v>
      </c>
      <c r="M54" s="122">
        <v>0</v>
      </c>
      <c r="N54" s="274">
        <v>0</v>
      </c>
      <c r="O54" s="121">
        <v>0</v>
      </c>
      <c r="P54" s="122">
        <v>0</v>
      </c>
      <c r="Q54" s="122">
        <v>0</v>
      </c>
      <c r="R54" s="274">
        <v>0</v>
      </c>
      <c r="S54" s="121">
        <v>0</v>
      </c>
      <c r="T54" s="122">
        <v>0</v>
      </c>
      <c r="U54" s="122">
        <v>0</v>
      </c>
      <c r="V54" s="274">
        <v>0</v>
      </c>
      <c r="W54" s="121">
        <v>32.6</v>
      </c>
      <c r="X54" s="122">
        <v>51.5</v>
      </c>
      <c r="Y54" s="122">
        <v>68.9</v>
      </c>
      <c r="Z54" s="274">
        <v>87.9</v>
      </c>
      <c r="AA54" s="121">
        <v>88.1</v>
      </c>
      <c r="AB54" s="122">
        <v>105.4</v>
      </c>
      <c r="AC54" s="122">
        <v>131</v>
      </c>
      <c r="AD54" s="274">
        <v>140.2</v>
      </c>
      <c r="AE54" s="122">
        <v>299</v>
      </c>
      <c r="AF54" s="122">
        <v>339.8</v>
      </c>
      <c r="AG54" s="122">
        <v>375.1</v>
      </c>
    </row>
    <row r="55" spans="1:33" ht="12.75">
      <c r="A55" s="38" t="s">
        <v>618</v>
      </c>
      <c r="B55" s="38" t="s">
        <v>597</v>
      </c>
      <c r="C55" s="121">
        <v>6</v>
      </c>
      <c r="D55" s="122">
        <v>6.5</v>
      </c>
      <c r="E55" s="122">
        <v>9.3</v>
      </c>
      <c r="F55" s="122">
        <v>7</v>
      </c>
      <c r="G55" s="121">
        <v>9</v>
      </c>
      <c r="H55" s="122">
        <v>6.1</v>
      </c>
      <c r="I55" s="122">
        <v>8.1</v>
      </c>
      <c r="J55" s="274">
        <v>5.3</v>
      </c>
      <c r="K55" s="121">
        <v>5.4</v>
      </c>
      <c r="L55" s="122">
        <v>4.8</v>
      </c>
      <c r="M55" s="122">
        <v>5.8</v>
      </c>
      <c r="N55" s="274">
        <v>5.2</v>
      </c>
      <c r="O55" s="121">
        <v>7.3</v>
      </c>
      <c r="P55" s="122">
        <v>8.4</v>
      </c>
      <c r="Q55" s="122">
        <v>9.1</v>
      </c>
      <c r="R55" s="274">
        <v>7.6</v>
      </c>
      <c r="S55" s="121">
        <v>7.1</v>
      </c>
      <c r="T55" s="122">
        <v>15</v>
      </c>
      <c r="U55" s="122">
        <v>18</v>
      </c>
      <c r="V55" s="274">
        <v>18</v>
      </c>
      <c r="W55" s="121">
        <v>16.9</v>
      </c>
      <c r="X55" s="122">
        <v>18.3</v>
      </c>
      <c r="Y55" s="122">
        <v>19</v>
      </c>
      <c r="Z55" s="274">
        <v>20.6</v>
      </c>
      <c r="AA55" s="121">
        <v>21.8</v>
      </c>
      <c r="AB55" s="122">
        <v>25.5</v>
      </c>
      <c r="AC55" s="122">
        <v>32.6</v>
      </c>
      <c r="AD55" s="274">
        <v>32.6</v>
      </c>
      <c r="AE55" s="122">
        <v>39.1</v>
      </c>
      <c r="AF55" s="122">
        <v>40.900000000000006</v>
      </c>
      <c r="AG55" s="122">
        <v>39.9</v>
      </c>
    </row>
    <row r="56" spans="1:33" ht="12.75">
      <c r="A56" s="38" t="s">
        <v>637</v>
      </c>
      <c r="B56" s="38" t="s">
        <v>599</v>
      </c>
      <c r="C56" s="121">
        <v>0</v>
      </c>
      <c r="D56" s="122">
        <v>0</v>
      </c>
      <c r="E56" s="122">
        <v>0</v>
      </c>
      <c r="F56" s="122">
        <v>0</v>
      </c>
      <c r="G56" s="121">
        <v>0</v>
      </c>
      <c r="H56" s="122">
        <v>0</v>
      </c>
      <c r="I56" s="122">
        <v>0</v>
      </c>
      <c r="J56" s="274">
        <v>0</v>
      </c>
      <c r="K56" s="121">
        <v>0</v>
      </c>
      <c r="L56" s="122">
        <v>0</v>
      </c>
      <c r="M56" s="122">
        <v>0</v>
      </c>
      <c r="N56" s="274">
        <v>0</v>
      </c>
      <c r="O56" s="121">
        <v>0</v>
      </c>
      <c r="P56" s="122">
        <v>0.5</v>
      </c>
      <c r="Q56" s="122">
        <v>0.5</v>
      </c>
      <c r="R56" s="274">
        <v>0.5</v>
      </c>
      <c r="S56" s="121">
        <v>0.5</v>
      </c>
      <c r="T56" s="122">
        <v>0.5</v>
      </c>
      <c r="U56" s="122">
        <v>0.5</v>
      </c>
      <c r="V56" s="274">
        <v>0.5</v>
      </c>
      <c r="W56" s="121">
        <v>3</v>
      </c>
      <c r="X56" s="122">
        <v>0.5</v>
      </c>
      <c r="Y56" s="122">
        <v>1.2</v>
      </c>
      <c r="Z56" s="274">
        <v>1.3</v>
      </c>
      <c r="AA56" s="121">
        <v>0.8</v>
      </c>
      <c r="AB56" s="122">
        <v>0.5</v>
      </c>
      <c r="AC56" s="122">
        <v>0.5</v>
      </c>
      <c r="AD56" s="274">
        <v>0.5</v>
      </c>
      <c r="AE56" s="122">
        <v>0.5</v>
      </c>
      <c r="AF56" s="122">
        <v>0.5</v>
      </c>
      <c r="AG56" s="122">
        <v>0.5</v>
      </c>
    </row>
    <row r="57" spans="1:33" s="12" customFormat="1" ht="12">
      <c r="A57" s="10" t="s">
        <v>318</v>
      </c>
      <c r="B57" s="10" t="s">
        <v>102</v>
      </c>
      <c r="C57" s="277">
        <f>SUM(C42,C50)</f>
        <v>11568.6</v>
      </c>
      <c r="D57" s="278">
        <f aca="true" t="shared" si="37" ref="D57:AD57">SUM(D42,D50)</f>
        <v>12462.300000000003</v>
      </c>
      <c r="E57" s="278">
        <f t="shared" si="37"/>
        <v>13262.300000000001</v>
      </c>
      <c r="F57" s="278">
        <f t="shared" si="37"/>
        <v>13900.699999999999</v>
      </c>
      <c r="G57" s="277">
        <f t="shared" si="37"/>
        <v>15386.300000000001</v>
      </c>
      <c r="H57" s="278">
        <f t="shared" si="37"/>
        <v>16592</v>
      </c>
      <c r="I57" s="278">
        <f t="shared" si="37"/>
        <v>18569.5</v>
      </c>
      <c r="J57" s="279">
        <f t="shared" si="37"/>
        <v>20354.6</v>
      </c>
      <c r="K57" s="277">
        <f t="shared" si="37"/>
        <v>21787.1</v>
      </c>
      <c r="L57" s="278">
        <f t="shared" si="37"/>
        <v>22062.1</v>
      </c>
      <c r="M57" s="278">
        <f t="shared" si="37"/>
        <v>22210.699999999997</v>
      </c>
      <c r="N57" s="279">
        <f t="shared" si="37"/>
        <v>22244.3</v>
      </c>
      <c r="O57" s="277">
        <f t="shared" si="37"/>
        <v>22636.3</v>
      </c>
      <c r="P57" s="278">
        <f t="shared" si="37"/>
        <v>23837.5</v>
      </c>
      <c r="Q57" s="278">
        <f t="shared" si="37"/>
        <v>25330.300000000003</v>
      </c>
      <c r="R57" s="279">
        <f t="shared" si="37"/>
        <v>26305.8</v>
      </c>
      <c r="S57" s="277">
        <f t="shared" si="37"/>
        <v>27211.3</v>
      </c>
      <c r="T57" s="278">
        <f t="shared" si="37"/>
        <v>28827.199999999997</v>
      </c>
      <c r="U57" s="278">
        <f t="shared" si="37"/>
        <v>30776.199999999997</v>
      </c>
      <c r="V57" s="279">
        <f t="shared" si="37"/>
        <v>32748.1</v>
      </c>
      <c r="W57" s="277">
        <f t="shared" si="37"/>
        <v>39932.5</v>
      </c>
      <c r="X57" s="278">
        <f t="shared" si="37"/>
        <v>40621.5</v>
      </c>
      <c r="Y57" s="278">
        <f t="shared" si="37"/>
        <v>41462.299999999996</v>
      </c>
      <c r="Z57" s="279">
        <f t="shared" si="37"/>
        <v>41072.8</v>
      </c>
      <c r="AA57" s="277">
        <f t="shared" si="37"/>
        <v>41533.2</v>
      </c>
      <c r="AB57" s="278">
        <f t="shared" si="37"/>
        <v>43143.200000000004</v>
      </c>
      <c r="AC57" s="278">
        <f t="shared" si="37"/>
        <v>44759.399999999994</v>
      </c>
      <c r="AD57" s="279">
        <f t="shared" si="37"/>
        <v>44966.899999999994</v>
      </c>
      <c r="AE57" s="278">
        <f>SUM(AE42,AE50)</f>
        <v>47385</v>
      </c>
      <c r="AF57" s="278">
        <f>SUM(AF42,AF50)</f>
        <v>49947.100000000006</v>
      </c>
      <c r="AG57" s="278">
        <f>SUM(AG42,AG50)</f>
        <v>52695.2</v>
      </c>
    </row>
    <row r="58" spans="1:33" ht="12.75">
      <c r="A58" s="38" t="s">
        <v>308</v>
      </c>
      <c r="B58" s="38" t="s">
        <v>103</v>
      </c>
      <c r="C58" s="121">
        <f>SUM(C59,C65)</f>
        <v>-632.2</v>
      </c>
      <c r="D58" s="122">
        <f aca="true" t="shared" si="38" ref="D58:AD58">SUM(D59,D65)</f>
        <v>-590.6999999999999</v>
      </c>
      <c r="E58" s="122">
        <f t="shared" si="38"/>
        <v>-521.8</v>
      </c>
      <c r="F58" s="122">
        <f t="shared" si="38"/>
        <v>-526.1</v>
      </c>
      <c r="G58" s="121">
        <f t="shared" si="38"/>
        <v>-539.2</v>
      </c>
      <c r="H58" s="122">
        <f t="shared" si="38"/>
        <v>-372.9</v>
      </c>
      <c r="I58" s="122">
        <f t="shared" si="38"/>
        <v>-393.6</v>
      </c>
      <c r="J58" s="274">
        <f t="shared" si="38"/>
        <v>-482.29999999999995</v>
      </c>
      <c r="K58" s="121">
        <f t="shared" si="38"/>
        <v>-654.1</v>
      </c>
      <c r="L58" s="122">
        <f t="shared" si="38"/>
        <v>-755.8</v>
      </c>
      <c r="M58" s="122">
        <f t="shared" si="38"/>
        <v>-804.9</v>
      </c>
      <c r="N58" s="274">
        <f t="shared" si="38"/>
        <v>-874.1</v>
      </c>
      <c r="O58" s="121">
        <f t="shared" si="38"/>
        <v>-930.9000000000001</v>
      </c>
      <c r="P58" s="122">
        <f t="shared" si="38"/>
        <v>-972.7</v>
      </c>
      <c r="Q58" s="122">
        <f t="shared" si="38"/>
        <v>-1037.9</v>
      </c>
      <c r="R58" s="274">
        <f t="shared" si="38"/>
        <v>-1082</v>
      </c>
      <c r="S58" s="121">
        <f t="shared" si="38"/>
        <v>-1122.7000000000003</v>
      </c>
      <c r="T58" s="122">
        <f t="shared" si="38"/>
        <v>-1140.6000000000001</v>
      </c>
      <c r="U58" s="122">
        <f t="shared" si="38"/>
        <v>-1182.7</v>
      </c>
      <c r="V58" s="274">
        <f t="shared" si="38"/>
        <v>-1112.3</v>
      </c>
      <c r="W58" s="121">
        <f t="shared" si="38"/>
        <v>-1194.9</v>
      </c>
      <c r="X58" s="122">
        <f t="shared" si="38"/>
        <v>-1289.6000000000001</v>
      </c>
      <c r="Y58" s="122">
        <f t="shared" si="38"/>
        <v>-1358.7</v>
      </c>
      <c r="Z58" s="274">
        <f t="shared" si="38"/>
        <v>-1427.8000000000002</v>
      </c>
      <c r="AA58" s="121">
        <f t="shared" si="38"/>
        <v>-1473.2000000000003</v>
      </c>
      <c r="AB58" s="122">
        <f t="shared" si="38"/>
        <v>-1573.8</v>
      </c>
      <c r="AC58" s="122">
        <f t="shared" si="38"/>
        <v>-1497.3000000000002</v>
      </c>
      <c r="AD58" s="274">
        <f t="shared" si="38"/>
        <v>-1557.8000000000002</v>
      </c>
      <c r="AE58" s="122">
        <f>SUM(AE59,AE65)</f>
        <v>-1640.3999999999999</v>
      </c>
      <c r="AF58" s="122">
        <f>SUM(AF59,AF65)</f>
        <v>-1614.7000000000003</v>
      </c>
      <c r="AG58" s="122">
        <f>SUM(AG59,AG65)</f>
        <v>-1664.6000000000004</v>
      </c>
    </row>
    <row r="59" spans="1:33" s="13" customFormat="1" ht="12.75">
      <c r="A59" s="37" t="s">
        <v>633</v>
      </c>
      <c r="B59" s="37" t="s">
        <v>600</v>
      </c>
      <c r="C59" s="271">
        <f>SUM(C60:C64)</f>
        <v>-366.09999999999997</v>
      </c>
      <c r="D59" s="272">
        <f aca="true" t="shared" si="39" ref="D59:AD59">SUM(D60:D64)</f>
        <v>-363.59999999999997</v>
      </c>
      <c r="E59" s="272">
        <f t="shared" si="39"/>
        <v>-304.79999999999995</v>
      </c>
      <c r="F59" s="272">
        <f t="shared" si="39"/>
        <v>-299.90000000000003</v>
      </c>
      <c r="G59" s="271">
        <f t="shared" si="39"/>
        <v>-308.7</v>
      </c>
      <c r="H59" s="272">
        <f t="shared" si="39"/>
        <v>-228.49999999999997</v>
      </c>
      <c r="I59" s="272">
        <f t="shared" si="39"/>
        <v>-244.60000000000002</v>
      </c>
      <c r="J59" s="273">
        <f t="shared" si="39"/>
        <v>-296</v>
      </c>
      <c r="K59" s="271">
        <f t="shared" si="39"/>
        <v>-453.7</v>
      </c>
      <c r="L59" s="272">
        <f t="shared" si="39"/>
        <v>-545.0999999999999</v>
      </c>
      <c r="M59" s="272">
        <f t="shared" si="39"/>
        <v>-569.6</v>
      </c>
      <c r="N59" s="273">
        <f t="shared" si="39"/>
        <v>-617.1</v>
      </c>
      <c r="O59" s="271">
        <f t="shared" si="39"/>
        <v>-655.1</v>
      </c>
      <c r="P59" s="272">
        <f t="shared" si="39"/>
        <v>-684.6</v>
      </c>
      <c r="Q59" s="272">
        <f t="shared" si="39"/>
        <v>-736.8000000000001</v>
      </c>
      <c r="R59" s="273">
        <f t="shared" si="39"/>
        <v>-762.0000000000001</v>
      </c>
      <c r="S59" s="271">
        <f t="shared" si="39"/>
        <v>-771.5000000000001</v>
      </c>
      <c r="T59" s="272">
        <f t="shared" si="39"/>
        <v>-792.2</v>
      </c>
      <c r="U59" s="272">
        <f t="shared" si="39"/>
        <v>-816.2</v>
      </c>
      <c r="V59" s="273">
        <f t="shared" si="39"/>
        <v>-734.8</v>
      </c>
      <c r="W59" s="271">
        <f t="shared" si="39"/>
        <v>-799.1000000000001</v>
      </c>
      <c r="X59" s="272">
        <f t="shared" si="39"/>
        <v>-864.9000000000001</v>
      </c>
      <c r="Y59" s="272">
        <f t="shared" si="39"/>
        <v>-912.3</v>
      </c>
      <c r="Z59" s="273">
        <f t="shared" si="39"/>
        <v>-960.6</v>
      </c>
      <c r="AA59" s="271">
        <f t="shared" si="39"/>
        <v>-969.4000000000002</v>
      </c>
      <c r="AB59" s="272">
        <f t="shared" si="39"/>
        <v>-1008.5999999999999</v>
      </c>
      <c r="AC59" s="272">
        <f t="shared" si="39"/>
        <v>-1018.8000000000001</v>
      </c>
      <c r="AD59" s="273">
        <f t="shared" si="39"/>
        <v>-1062.3000000000002</v>
      </c>
      <c r="AE59" s="272">
        <f>SUM(AE60:AE64)</f>
        <v>-1104.3999999999999</v>
      </c>
      <c r="AF59" s="272">
        <f>SUM(AF60:AF64)</f>
        <v>-1065.5000000000002</v>
      </c>
      <c r="AG59" s="272">
        <f>SUM(AG60:AG64)</f>
        <v>-1093.9</v>
      </c>
    </row>
    <row r="60" spans="1:33" s="118" customFormat="1" ht="12.75">
      <c r="A60" s="119" t="s">
        <v>638</v>
      </c>
      <c r="B60" s="119" t="s">
        <v>104</v>
      </c>
      <c r="C60" s="275">
        <v>-341.7</v>
      </c>
      <c r="D60" s="250">
        <v>-339.7</v>
      </c>
      <c r="E60" s="250">
        <v>-281.7</v>
      </c>
      <c r="F60" s="250">
        <v>-277.3</v>
      </c>
      <c r="G60" s="275">
        <v>-285.9</v>
      </c>
      <c r="H60" s="250">
        <v>-219.49999999999997</v>
      </c>
      <c r="I60" s="250">
        <v>-235.50000000000003</v>
      </c>
      <c r="J60" s="276">
        <v>-286.6</v>
      </c>
      <c r="K60" s="275">
        <v>-443.2</v>
      </c>
      <c r="L60" s="250">
        <v>-534.8</v>
      </c>
      <c r="M60" s="250">
        <v>-558.8000000000001</v>
      </c>
      <c r="N60" s="276">
        <v>-605.6</v>
      </c>
      <c r="O60" s="275">
        <v>-642.6</v>
      </c>
      <c r="P60" s="250">
        <v>-671.8000000000001</v>
      </c>
      <c r="Q60" s="250">
        <v>-727.8000000000001</v>
      </c>
      <c r="R60" s="276">
        <v>-756.1</v>
      </c>
      <c r="S60" s="275">
        <v>-765.7</v>
      </c>
      <c r="T60" s="250">
        <v>-786.0999999999999</v>
      </c>
      <c r="U60" s="250">
        <v>-809.2</v>
      </c>
      <c r="V60" s="276">
        <v>-728.0999999999999</v>
      </c>
      <c r="W60" s="275">
        <v>-725.3000000000001</v>
      </c>
      <c r="X60" s="250">
        <v>-761.4000000000001</v>
      </c>
      <c r="Y60" s="250">
        <v>-788.0999999999999</v>
      </c>
      <c r="Z60" s="276">
        <v>-820.2</v>
      </c>
      <c r="AA60" s="275">
        <v>-834.8000000000001</v>
      </c>
      <c r="AB60" s="250">
        <v>-872.5</v>
      </c>
      <c r="AC60" s="250">
        <v>-881.8</v>
      </c>
      <c r="AD60" s="276">
        <v>-986.4</v>
      </c>
      <c r="AE60" s="250">
        <v>-1023.6</v>
      </c>
      <c r="AF60" s="250">
        <v>-980.1</v>
      </c>
      <c r="AG60" s="250">
        <v>-1014</v>
      </c>
    </row>
    <row r="61" spans="1:33" s="118" customFormat="1" ht="12.75">
      <c r="A61" s="119" t="s">
        <v>639</v>
      </c>
      <c r="B61" s="119" t="s">
        <v>105</v>
      </c>
      <c r="C61" s="275">
        <v>0</v>
      </c>
      <c r="D61" s="250">
        <v>0</v>
      </c>
      <c r="E61" s="250">
        <v>0</v>
      </c>
      <c r="F61" s="250">
        <v>0</v>
      </c>
      <c r="G61" s="275">
        <v>0</v>
      </c>
      <c r="H61" s="250">
        <v>0</v>
      </c>
      <c r="I61" s="250">
        <v>0</v>
      </c>
      <c r="J61" s="276">
        <v>0</v>
      </c>
      <c r="K61" s="275">
        <v>0</v>
      </c>
      <c r="L61" s="250">
        <v>0</v>
      </c>
      <c r="M61" s="250">
        <v>0</v>
      </c>
      <c r="N61" s="276">
        <v>0</v>
      </c>
      <c r="O61" s="275">
        <v>0</v>
      </c>
      <c r="P61" s="250">
        <v>0</v>
      </c>
      <c r="Q61" s="250">
        <v>0</v>
      </c>
      <c r="R61" s="276">
        <v>0</v>
      </c>
      <c r="S61" s="275">
        <v>0</v>
      </c>
      <c r="T61" s="250">
        <v>0</v>
      </c>
      <c r="U61" s="250">
        <v>0</v>
      </c>
      <c r="V61" s="276">
        <v>0</v>
      </c>
      <c r="W61" s="275">
        <v>-62.5</v>
      </c>
      <c r="X61" s="250">
        <v>-61.6</v>
      </c>
      <c r="Y61" s="250">
        <v>-67.9</v>
      </c>
      <c r="Z61" s="276">
        <v>-69.1</v>
      </c>
      <c r="AA61" s="275">
        <v>-63.2</v>
      </c>
      <c r="AB61" s="250">
        <v>-59.8</v>
      </c>
      <c r="AC61" s="250">
        <v>-54.199999999999996</v>
      </c>
      <c r="AD61" s="276">
        <v>-59.5</v>
      </c>
      <c r="AE61" s="250">
        <v>-62</v>
      </c>
      <c r="AF61" s="250">
        <v>-63.8</v>
      </c>
      <c r="AG61" s="250">
        <v>-63</v>
      </c>
    </row>
    <row r="62" spans="1:33" s="118" customFormat="1" ht="12.75">
      <c r="A62" s="119" t="s">
        <v>640</v>
      </c>
      <c r="B62" s="119" t="s">
        <v>106</v>
      </c>
      <c r="C62" s="275">
        <v>-1.4</v>
      </c>
      <c r="D62" s="250">
        <v>-1.4</v>
      </c>
      <c r="E62" s="250">
        <v>-1.2</v>
      </c>
      <c r="F62" s="250">
        <v>-1.1</v>
      </c>
      <c r="G62" s="275">
        <v>-1.3</v>
      </c>
      <c r="H62" s="250">
        <v>-0.9</v>
      </c>
      <c r="I62" s="250">
        <v>-1.1</v>
      </c>
      <c r="J62" s="276">
        <v>-1.4</v>
      </c>
      <c r="K62" s="275">
        <v>-2.5</v>
      </c>
      <c r="L62" s="250">
        <v>-1.8</v>
      </c>
      <c r="M62" s="250">
        <v>-1.9</v>
      </c>
      <c r="N62" s="276">
        <v>-1.5</v>
      </c>
      <c r="O62" s="275">
        <v>-1.2</v>
      </c>
      <c r="P62" s="250">
        <v>-1.5</v>
      </c>
      <c r="Q62" s="250">
        <v>-1.3</v>
      </c>
      <c r="R62" s="276">
        <v>-1.1</v>
      </c>
      <c r="S62" s="275">
        <v>-1</v>
      </c>
      <c r="T62" s="250">
        <v>-1.2</v>
      </c>
      <c r="U62" s="250">
        <v>-2</v>
      </c>
      <c r="V62" s="276">
        <v>-1.9</v>
      </c>
      <c r="W62" s="275">
        <v>-6.499999999999999</v>
      </c>
      <c r="X62" s="250">
        <v>-4.9</v>
      </c>
      <c r="Y62" s="250">
        <v>-5.1</v>
      </c>
      <c r="Z62" s="276">
        <v>-8.8</v>
      </c>
      <c r="AA62" s="275">
        <v>-7.699999999999999</v>
      </c>
      <c r="AB62" s="250">
        <v>-7.800000000000001</v>
      </c>
      <c r="AC62" s="250">
        <v>-9.1</v>
      </c>
      <c r="AD62" s="276">
        <v>-11.7</v>
      </c>
      <c r="AE62" s="250">
        <v>-14.099999999999998</v>
      </c>
      <c r="AF62" s="250">
        <v>-16.900000000000002</v>
      </c>
      <c r="AG62" s="250">
        <v>-12.2</v>
      </c>
    </row>
    <row r="63" spans="1:33" s="118" customFormat="1" ht="12.75">
      <c r="A63" s="119" t="s">
        <v>634</v>
      </c>
      <c r="B63" s="119" t="s">
        <v>601</v>
      </c>
      <c r="C63" s="275">
        <v>-15</v>
      </c>
      <c r="D63" s="250">
        <v>-14.5</v>
      </c>
      <c r="E63" s="250">
        <v>-13.9</v>
      </c>
      <c r="F63" s="250">
        <v>-13.5</v>
      </c>
      <c r="G63" s="275">
        <v>-13.5</v>
      </c>
      <c r="H63" s="250">
        <v>-0.1</v>
      </c>
      <c r="I63" s="250">
        <v>0</v>
      </c>
      <c r="J63" s="276">
        <v>0</v>
      </c>
      <c r="K63" s="275">
        <v>0</v>
      </c>
      <c r="L63" s="250">
        <v>-0.5</v>
      </c>
      <c r="M63" s="250">
        <v>-0.9</v>
      </c>
      <c r="N63" s="276">
        <v>-2</v>
      </c>
      <c r="O63" s="275">
        <v>-3.3</v>
      </c>
      <c r="P63" s="250">
        <v>-3.3</v>
      </c>
      <c r="Q63" s="250">
        <v>-3.1</v>
      </c>
      <c r="R63" s="276">
        <v>-0.2</v>
      </c>
      <c r="S63" s="275">
        <v>-0.2</v>
      </c>
      <c r="T63" s="250">
        <v>-0.2</v>
      </c>
      <c r="U63" s="250">
        <v>-0.3</v>
      </c>
      <c r="V63" s="276">
        <v>-0.2</v>
      </c>
      <c r="W63" s="275">
        <v>-0.2</v>
      </c>
      <c r="X63" s="250">
        <v>-32.3</v>
      </c>
      <c r="Y63" s="250">
        <v>-46.5</v>
      </c>
      <c r="Z63" s="276">
        <v>-57.8</v>
      </c>
      <c r="AA63" s="275">
        <v>-59</v>
      </c>
      <c r="AB63" s="250">
        <v>-63.800000000000004</v>
      </c>
      <c r="AC63" s="250">
        <v>-69</v>
      </c>
      <c r="AD63" s="276">
        <v>0</v>
      </c>
      <c r="AE63" s="250">
        <v>0</v>
      </c>
      <c r="AF63" s="250">
        <v>0</v>
      </c>
      <c r="AG63" s="250">
        <v>0</v>
      </c>
    </row>
    <row r="64" spans="1:33" s="118" customFormat="1" ht="12.75">
      <c r="A64" s="119" t="s">
        <v>641</v>
      </c>
      <c r="B64" s="119" t="s">
        <v>113</v>
      </c>
      <c r="C64" s="275">
        <v>-8</v>
      </c>
      <c r="D64" s="250">
        <v>-8</v>
      </c>
      <c r="E64" s="250">
        <v>-8</v>
      </c>
      <c r="F64" s="250">
        <v>-8</v>
      </c>
      <c r="G64" s="275">
        <v>-8</v>
      </c>
      <c r="H64" s="250">
        <v>-8</v>
      </c>
      <c r="I64" s="250">
        <v>-8</v>
      </c>
      <c r="J64" s="276">
        <v>-8</v>
      </c>
      <c r="K64" s="275">
        <v>-8</v>
      </c>
      <c r="L64" s="250">
        <v>-8</v>
      </c>
      <c r="M64" s="250">
        <v>-8</v>
      </c>
      <c r="N64" s="276">
        <v>-8</v>
      </c>
      <c r="O64" s="275">
        <v>-8</v>
      </c>
      <c r="P64" s="250">
        <v>-8</v>
      </c>
      <c r="Q64" s="250">
        <v>-4.6</v>
      </c>
      <c r="R64" s="276">
        <v>-4.6</v>
      </c>
      <c r="S64" s="275">
        <v>-4.6</v>
      </c>
      <c r="T64" s="250">
        <v>-4.7</v>
      </c>
      <c r="U64" s="250">
        <v>-4.7</v>
      </c>
      <c r="V64" s="276">
        <v>-4.6</v>
      </c>
      <c r="W64" s="275">
        <v>-4.6</v>
      </c>
      <c r="X64" s="250">
        <v>-4.7</v>
      </c>
      <c r="Y64" s="250">
        <v>-4.7</v>
      </c>
      <c r="Z64" s="276">
        <v>-4.7</v>
      </c>
      <c r="AA64" s="275">
        <v>-4.7</v>
      </c>
      <c r="AB64" s="250">
        <v>-4.7</v>
      </c>
      <c r="AC64" s="250">
        <v>-4.7</v>
      </c>
      <c r="AD64" s="276">
        <v>-4.7</v>
      </c>
      <c r="AE64" s="250">
        <v>-4.7</v>
      </c>
      <c r="AF64" s="250">
        <v>-4.7</v>
      </c>
      <c r="AG64" s="250">
        <v>-4.7</v>
      </c>
    </row>
    <row r="65" spans="1:33" s="13" customFormat="1" ht="12.75">
      <c r="A65" s="270" t="s">
        <v>635</v>
      </c>
      <c r="B65" s="270" t="s">
        <v>602</v>
      </c>
      <c r="C65" s="271">
        <f>SUM(C66:C69)</f>
        <v>-266.1</v>
      </c>
      <c r="D65" s="272">
        <f aca="true" t="shared" si="40" ref="D65:AD65">SUM(D66:D69)</f>
        <v>-227.1</v>
      </c>
      <c r="E65" s="272">
        <f t="shared" si="40"/>
        <v>-216.99999999999997</v>
      </c>
      <c r="F65" s="272">
        <f t="shared" si="40"/>
        <v>-226.20000000000002</v>
      </c>
      <c r="G65" s="271">
        <f t="shared" si="40"/>
        <v>-230.5</v>
      </c>
      <c r="H65" s="272">
        <f t="shared" si="40"/>
        <v>-144.4</v>
      </c>
      <c r="I65" s="272">
        <f t="shared" si="40"/>
        <v>-149</v>
      </c>
      <c r="J65" s="273">
        <f t="shared" si="40"/>
        <v>-186.29999999999998</v>
      </c>
      <c r="K65" s="271">
        <f t="shared" si="40"/>
        <v>-200.4</v>
      </c>
      <c r="L65" s="272">
        <f t="shared" si="40"/>
        <v>-210.7</v>
      </c>
      <c r="M65" s="272">
        <f t="shared" si="40"/>
        <v>-235.29999999999998</v>
      </c>
      <c r="N65" s="273">
        <f t="shared" si="40"/>
        <v>-257</v>
      </c>
      <c r="O65" s="271">
        <f t="shared" si="40"/>
        <v>-275.8</v>
      </c>
      <c r="P65" s="272">
        <f t="shared" si="40"/>
        <v>-288.1</v>
      </c>
      <c r="Q65" s="272">
        <f t="shared" si="40"/>
        <v>-301.1</v>
      </c>
      <c r="R65" s="273">
        <f t="shared" si="40"/>
        <v>-320</v>
      </c>
      <c r="S65" s="271">
        <f t="shared" si="40"/>
        <v>-351.20000000000005</v>
      </c>
      <c r="T65" s="272">
        <f t="shared" si="40"/>
        <v>-348.40000000000003</v>
      </c>
      <c r="U65" s="272">
        <f t="shared" si="40"/>
        <v>-366.5</v>
      </c>
      <c r="V65" s="273">
        <f t="shared" si="40"/>
        <v>-377.50000000000006</v>
      </c>
      <c r="W65" s="271">
        <f t="shared" si="40"/>
        <v>-395.8</v>
      </c>
      <c r="X65" s="272">
        <f t="shared" si="40"/>
        <v>-424.7</v>
      </c>
      <c r="Y65" s="272">
        <f t="shared" si="40"/>
        <v>-446.40000000000003</v>
      </c>
      <c r="Z65" s="273">
        <f t="shared" si="40"/>
        <v>-467.20000000000005</v>
      </c>
      <c r="AA65" s="271">
        <f t="shared" si="40"/>
        <v>-503.8</v>
      </c>
      <c r="AB65" s="272">
        <f t="shared" si="40"/>
        <v>-565.2</v>
      </c>
      <c r="AC65" s="272">
        <f t="shared" si="40"/>
        <v>-478.5</v>
      </c>
      <c r="AD65" s="273">
        <f t="shared" si="40"/>
        <v>-495.5</v>
      </c>
      <c r="AE65" s="272">
        <f>SUM(AE66:AE69)</f>
        <v>-536</v>
      </c>
      <c r="AF65" s="272">
        <f>SUM(AF66:AF69)</f>
        <v>-549.1999999999999</v>
      </c>
      <c r="AG65" s="272">
        <f>SUM(AG66:AG69)</f>
        <v>-570.7000000000002</v>
      </c>
    </row>
    <row r="66" spans="1:33" s="118" customFormat="1" ht="12.75">
      <c r="A66" s="119" t="s">
        <v>638</v>
      </c>
      <c r="B66" s="119" t="s">
        <v>104</v>
      </c>
      <c r="C66" s="275">
        <v>-264.3</v>
      </c>
      <c r="D66" s="250">
        <v>-225.3</v>
      </c>
      <c r="E66" s="250">
        <v>-215.2</v>
      </c>
      <c r="F66" s="250">
        <v>-224.3</v>
      </c>
      <c r="G66" s="275">
        <v>-228.6</v>
      </c>
      <c r="H66" s="250">
        <v>-142.8</v>
      </c>
      <c r="I66" s="250">
        <v>-147.4</v>
      </c>
      <c r="J66" s="276">
        <v>-184.7</v>
      </c>
      <c r="K66" s="275">
        <v>-198.8</v>
      </c>
      <c r="L66" s="250">
        <v>-209.1</v>
      </c>
      <c r="M66" s="250">
        <v>-233.7</v>
      </c>
      <c r="N66" s="276">
        <v>-255.4</v>
      </c>
      <c r="O66" s="275">
        <v>-274.2</v>
      </c>
      <c r="P66" s="250">
        <v>-286.5</v>
      </c>
      <c r="Q66" s="250">
        <v>-299.5</v>
      </c>
      <c r="R66" s="276">
        <v>-318.4</v>
      </c>
      <c r="S66" s="275">
        <v>-349.5</v>
      </c>
      <c r="T66" s="250">
        <v>-346.8</v>
      </c>
      <c r="U66" s="250">
        <v>-364.8</v>
      </c>
      <c r="V66" s="276">
        <v>-375.8</v>
      </c>
      <c r="W66" s="275">
        <v>-394</v>
      </c>
      <c r="X66" s="250">
        <v>-422.8</v>
      </c>
      <c r="Y66" s="250">
        <v>-444.5</v>
      </c>
      <c r="Z66" s="276">
        <v>-465.8</v>
      </c>
      <c r="AA66" s="275">
        <v>-502.6</v>
      </c>
      <c r="AB66" s="250">
        <v>-563.7</v>
      </c>
      <c r="AC66" s="250">
        <v>-477.5</v>
      </c>
      <c r="AD66" s="276">
        <v>-494.6</v>
      </c>
      <c r="AE66" s="250">
        <v>-534.9</v>
      </c>
      <c r="AF66" s="250">
        <v>-547.8</v>
      </c>
      <c r="AG66" s="250">
        <v>-569.3000000000001</v>
      </c>
    </row>
    <row r="67" spans="1:33" s="118" customFormat="1" ht="12.75">
      <c r="A67" s="56" t="s">
        <v>639</v>
      </c>
      <c r="B67" s="56" t="s">
        <v>105</v>
      </c>
      <c r="C67" s="275">
        <v>0</v>
      </c>
      <c r="D67" s="250">
        <v>0</v>
      </c>
      <c r="E67" s="250">
        <v>0</v>
      </c>
      <c r="F67" s="250">
        <v>0</v>
      </c>
      <c r="G67" s="275">
        <v>0</v>
      </c>
      <c r="H67" s="250">
        <v>0</v>
      </c>
      <c r="I67" s="250">
        <v>0</v>
      </c>
      <c r="J67" s="276">
        <v>0</v>
      </c>
      <c r="K67" s="275">
        <v>0</v>
      </c>
      <c r="L67" s="250">
        <v>0</v>
      </c>
      <c r="M67" s="250">
        <v>0</v>
      </c>
      <c r="N67" s="276">
        <v>0</v>
      </c>
      <c r="O67" s="275">
        <v>0</v>
      </c>
      <c r="P67" s="250">
        <v>0</v>
      </c>
      <c r="Q67" s="250">
        <v>0</v>
      </c>
      <c r="R67" s="276">
        <v>0</v>
      </c>
      <c r="S67" s="275">
        <v>0</v>
      </c>
      <c r="T67" s="250">
        <v>0</v>
      </c>
      <c r="U67" s="250">
        <v>0</v>
      </c>
      <c r="V67" s="276">
        <v>0</v>
      </c>
      <c r="W67" s="275">
        <v>-0.2</v>
      </c>
      <c r="X67" s="250">
        <v>-0.2</v>
      </c>
      <c r="Y67" s="250">
        <v>-0.3</v>
      </c>
      <c r="Z67" s="276">
        <v>-0.3</v>
      </c>
      <c r="AA67" s="275">
        <v>-0.2</v>
      </c>
      <c r="AB67" s="250">
        <v>-0.2</v>
      </c>
      <c r="AC67" s="250">
        <f>-0.2</f>
        <v>-0.2</v>
      </c>
      <c r="AD67" s="276">
        <v>-0.2</v>
      </c>
      <c r="AE67" s="250">
        <v>-0.6</v>
      </c>
      <c r="AF67" s="250">
        <v>-0.8</v>
      </c>
      <c r="AG67" s="250">
        <v>-0.7</v>
      </c>
    </row>
    <row r="68" spans="1:33" s="118" customFormat="1" ht="12.75">
      <c r="A68" s="56" t="s">
        <v>640</v>
      </c>
      <c r="B68" s="56" t="s">
        <v>106</v>
      </c>
      <c r="C68" s="275">
        <v>-1.2</v>
      </c>
      <c r="D68" s="250">
        <v>-1.2</v>
      </c>
      <c r="E68" s="250">
        <v>-1.2</v>
      </c>
      <c r="F68" s="250">
        <v>-1.3</v>
      </c>
      <c r="G68" s="275">
        <v>-1.3</v>
      </c>
      <c r="H68" s="250">
        <v>-1</v>
      </c>
      <c r="I68" s="250">
        <v>-1</v>
      </c>
      <c r="J68" s="276">
        <v>-1</v>
      </c>
      <c r="K68" s="275">
        <v>-1</v>
      </c>
      <c r="L68" s="250">
        <v>-1</v>
      </c>
      <c r="M68" s="250">
        <v>-1</v>
      </c>
      <c r="N68" s="276">
        <v>-1</v>
      </c>
      <c r="O68" s="275">
        <v>-1</v>
      </c>
      <c r="P68" s="250">
        <v>-1</v>
      </c>
      <c r="Q68" s="250">
        <v>-1</v>
      </c>
      <c r="R68" s="276">
        <v>-1</v>
      </c>
      <c r="S68" s="275">
        <v>-1.1</v>
      </c>
      <c r="T68" s="250">
        <v>-1.1</v>
      </c>
      <c r="U68" s="250">
        <v>-1.2</v>
      </c>
      <c r="V68" s="276">
        <v>-1.1</v>
      </c>
      <c r="W68" s="275">
        <v>-1.1</v>
      </c>
      <c r="X68" s="250">
        <v>-1.2</v>
      </c>
      <c r="Y68" s="250">
        <v>-1.1</v>
      </c>
      <c r="Z68" s="276">
        <v>-0.6</v>
      </c>
      <c r="AA68" s="275">
        <v>-0.5</v>
      </c>
      <c r="AB68" s="250">
        <v>-0.8</v>
      </c>
      <c r="AC68" s="250">
        <v>-0.3</v>
      </c>
      <c r="AD68" s="276">
        <v>-0.2</v>
      </c>
      <c r="AE68" s="250">
        <v>0</v>
      </c>
      <c r="AF68" s="250">
        <v>-0.1</v>
      </c>
      <c r="AG68" s="250">
        <v>-0.2</v>
      </c>
    </row>
    <row r="69" spans="1:33" s="118" customFormat="1" ht="12.75">
      <c r="A69" s="116" t="s">
        <v>641</v>
      </c>
      <c r="B69" s="116" t="s">
        <v>113</v>
      </c>
      <c r="C69" s="275">
        <v>-0.5999999999999996</v>
      </c>
      <c r="D69" s="250">
        <v>-0.5999999999999996</v>
      </c>
      <c r="E69" s="250">
        <v>-0.5999999999999996</v>
      </c>
      <c r="F69" s="250">
        <v>-0.5999999999999996</v>
      </c>
      <c r="G69" s="275">
        <v>-0.5999999999999996</v>
      </c>
      <c r="H69" s="250">
        <v>-0.5999999999999996</v>
      </c>
      <c r="I69" s="250">
        <v>-0.5999999999999996</v>
      </c>
      <c r="J69" s="250">
        <v>-0.5999999999999996</v>
      </c>
      <c r="K69" s="275">
        <v>-0.5999999999999996</v>
      </c>
      <c r="L69" s="250">
        <v>-0.5999999999999996</v>
      </c>
      <c r="M69" s="250">
        <v>-0.5999999999999996</v>
      </c>
      <c r="N69" s="276">
        <v>-0.5999999999999996</v>
      </c>
      <c r="O69" s="275">
        <v>-0.5999999999999996</v>
      </c>
      <c r="P69" s="250">
        <v>-0.5999999999999996</v>
      </c>
      <c r="Q69" s="250">
        <v>-0.6000000000000005</v>
      </c>
      <c r="R69" s="276">
        <v>-0.6000000000000005</v>
      </c>
      <c r="S69" s="275">
        <v>-0.6000000000000005</v>
      </c>
      <c r="T69" s="250">
        <v>-0.5</v>
      </c>
      <c r="U69" s="250">
        <v>-0.5</v>
      </c>
      <c r="V69" s="276">
        <v>-0.6000000000000005</v>
      </c>
      <c r="W69" s="275">
        <v>-0.5</v>
      </c>
      <c r="X69" s="250">
        <v>-0.5</v>
      </c>
      <c r="Y69" s="250">
        <v>-0.5</v>
      </c>
      <c r="Z69" s="276">
        <v>-0.5</v>
      </c>
      <c r="AA69" s="275">
        <v>-0.5</v>
      </c>
      <c r="AB69" s="250">
        <v>-0.5</v>
      </c>
      <c r="AC69" s="250">
        <v>-0.5</v>
      </c>
      <c r="AD69" s="276">
        <v>-0.5</v>
      </c>
      <c r="AE69" s="250">
        <v>-0.5</v>
      </c>
      <c r="AF69" s="250">
        <v>-0.5</v>
      </c>
      <c r="AG69" s="250">
        <v>-0.5</v>
      </c>
    </row>
    <row r="70" spans="1:33" s="13" customFormat="1" ht="16.5" customHeight="1">
      <c r="A70" s="99" t="s">
        <v>319</v>
      </c>
      <c r="B70" s="99" t="s">
        <v>111</v>
      </c>
      <c r="C70" s="280">
        <f aca="true" t="shared" si="41" ref="C70:AD70">C57+C58</f>
        <v>10936.4</v>
      </c>
      <c r="D70" s="281">
        <f t="shared" si="41"/>
        <v>11871.600000000002</v>
      </c>
      <c r="E70" s="281">
        <f t="shared" si="41"/>
        <v>12740.500000000002</v>
      </c>
      <c r="F70" s="281">
        <f t="shared" si="41"/>
        <v>13374.599999999999</v>
      </c>
      <c r="G70" s="280">
        <f t="shared" si="41"/>
        <v>14847.1</v>
      </c>
      <c r="H70" s="281">
        <f t="shared" si="41"/>
        <v>16219.1</v>
      </c>
      <c r="I70" s="281">
        <f t="shared" si="41"/>
        <v>18175.9</v>
      </c>
      <c r="J70" s="282">
        <f t="shared" si="41"/>
        <v>19872.3</v>
      </c>
      <c r="K70" s="280">
        <f t="shared" si="41"/>
        <v>21133</v>
      </c>
      <c r="L70" s="281">
        <f t="shared" si="41"/>
        <v>21306.3</v>
      </c>
      <c r="M70" s="281">
        <f t="shared" si="41"/>
        <v>21405.799999999996</v>
      </c>
      <c r="N70" s="282">
        <f t="shared" si="41"/>
        <v>21370.2</v>
      </c>
      <c r="O70" s="280">
        <f t="shared" si="41"/>
        <v>21705.399999999998</v>
      </c>
      <c r="P70" s="281">
        <f t="shared" si="41"/>
        <v>22864.8</v>
      </c>
      <c r="Q70" s="281">
        <f t="shared" si="41"/>
        <v>24292.4</v>
      </c>
      <c r="R70" s="282">
        <f t="shared" si="41"/>
        <v>25223.8</v>
      </c>
      <c r="S70" s="280">
        <f t="shared" si="41"/>
        <v>26088.6</v>
      </c>
      <c r="T70" s="281">
        <f t="shared" si="41"/>
        <v>27686.6</v>
      </c>
      <c r="U70" s="281">
        <f t="shared" si="41"/>
        <v>29593.499999999996</v>
      </c>
      <c r="V70" s="282">
        <f t="shared" si="41"/>
        <v>31635.8</v>
      </c>
      <c r="W70" s="280">
        <f t="shared" si="41"/>
        <v>38737.6</v>
      </c>
      <c r="X70" s="281">
        <f t="shared" si="41"/>
        <v>39331.9</v>
      </c>
      <c r="Y70" s="281">
        <f t="shared" si="41"/>
        <v>40103.6</v>
      </c>
      <c r="Z70" s="282">
        <f t="shared" si="41"/>
        <v>39645</v>
      </c>
      <c r="AA70" s="280">
        <f t="shared" si="41"/>
        <v>40060</v>
      </c>
      <c r="AB70" s="281">
        <f t="shared" si="41"/>
        <v>41569.4</v>
      </c>
      <c r="AC70" s="281">
        <f t="shared" si="41"/>
        <v>43262.09999999999</v>
      </c>
      <c r="AD70" s="282">
        <f t="shared" si="41"/>
        <v>43409.09999999999</v>
      </c>
      <c r="AE70" s="281">
        <f>AE57+AE58</f>
        <v>45744.6</v>
      </c>
      <c r="AF70" s="281">
        <f>AF57+AF58</f>
        <v>48332.40000000001</v>
      </c>
      <c r="AG70" s="281">
        <f>AG57+AG58</f>
        <v>51030.6</v>
      </c>
    </row>
    <row r="71" spans="1:33" ht="12.75">
      <c r="A71" s="110"/>
      <c r="B71" s="110"/>
      <c r="C71" s="39"/>
      <c r="D71" s="40"/>
      <c r="E71" s="40"/>
      <c r="F71" s="40"/>
      <c r="G71" s="39"/>
      <c r="H71" s="40"/>
      <c r="I71" s="40"/>
      <c r="J71" s="41"/>
      <c r="K71" s="39"/>
      <c r="L71" s="40"/>
      <c r="M71" s="40"/>
      <c r="N71" s="41"/>
      <c r="O71" s="39"/>
      <c r="P71" s="40"/>
      <c r="Q71" s="40"/>
      <c r="R71" s="41"/>
      <c r="S71" s="39"/>
      <c r="T71" s="40"/>
      <c r="U71" s="40"/>
      <c r="V71" s="41"/>
      <c r="W71" s="39"/>
      <c r="X71" s="40"/>
      <c r="Y71" s="40"/>
      <c r="Z71" s="41"/>
      <c r="AA71" s="39"/>
      <c r="AB71" s="40"/>
      <c r="AC71" s="40"/>
      <c r="AD71" s="41"/>
      <c r="AE71" s="40"/>
      <c r="AF71" s="40"/>
      <c r="AG71" s="40"/>
    </row>
    <row r="72" spans="1:33" s="12" customFormat="1" ht="12">
      <c r="A72" s="201" t="s">
        <v>321</v>
      </c>
      <c r="B72" s="201" t="s">
        <v>114</v>
      </c>
      <c r="C72" s="202"/>
      <c r="D72" s="203"/>
      <c r="E72" s="203"/>
      <c r="F72" s="203"/>
      <c r="G72" s="202"/>
      <c r="H72" s="203"/>
      <c r="I72" s="203"/>
      <c r="J72" s="204"/>
      <c r="K72" s="202"/>
      <c r="L72" s="203"/>
      <c r="M72" s="203"/>
      <c r="N72" s="204"/>
      <c r="O72" s="202"/>
      <c r="P72" s="203"/>
      <c r="Q72" s="203"/>
      <c r="R72" s="204"/>
      <c r="S72" s="202"/>
      <c r="T72" s="203"/>
      <c r="U72" s="203"/>
      <c r="V72" s="204"/>
      <c r="W72" s="202"/>
      <c r="X72" s="203"/>
      <c r="Y72" s="203"/>
      <c r="Z72" s="204"/>
      <c r="AA72" s="202"/>
      <c r="AB72" s="203"/>
      <c r="AC72" s="203"/>
      <c r="AD72" s="204"/>
      <c r="AE72" s="203"/>
      <c r="AF72" s="203"/>
      <c r="AG72" s="203"/>
    </row>
    <row r="73" spans="1:33" ht="12.75">
      <c r="A73" s="38"/>
      <c r="B73" s="38"/>
      <c r="C73" s="39"/>
      <c r="D73" s="40"/>
      <c r="E73" s="40"/>
      <c r="F73" s="40"/>
      <c r="G73" s="39"/>
      <c r="H73" s="40"/>
      <c r="I73" s="40"/>
      <c r="J73" s="41"/>
      <c r="K73" s="39"/>
      <c r="L73" s="40"/>
      <c r="M73" s="40"/>
      <c r="N73" s="41"/>
      <c r="O73" s="39"/>
      <c r="P73" s="40"/>
      <c r="Q73" s="40"/>
      <c r="R73" s="41"/>
      <c r="S73" s="39"/>
      <c r="T73" s="40"/>
      <c r="U73" s="40"/>
      <c r="V73" s="41"/>
      <c r="W73" s="39"/>
      <c r="X73" s="40"/>
      <c r="Y73" s="40"/>
      <c r="Z73" s="41"/>
      <c r="AA73" s="39"/>
      <c r="AB73" s="40"/>
      <c r="AC73" s="40"/>
      <c r="AD73" s="41"/>
      <c r="AE73" s="40"/>
      <c r="AF73" s="40"/>
      <c r="AG73" s="40"/>
    </row>
    <row r="74" spans="1:33" ht="12.75">
      <c r="A74" s="38" t="s">
        <v>315</v>
      </c>
      <c r="B74" s="38" t="s">
        <v>108</v>
      </c>
      <c r="C74" s="39">
        <f>SUM(C75:C76)</f>
        <v>627.5000000000001</v>
      </c>
      <c r="D74" s="40">
        <f aca="true" t="shared" si="42" ref="D74:X74">SUM(D75:D76)</f>
        <v>604.3000000000001</v>
      </c>
      <c r="E74" s="40">
        <f t="shared" si="42"/>
        <v>612.6</v>
      </c>
      <c r="F74" s="40">
        <f t="shared" si="42"/>
        <v>695.8</v>
      </c>
      <c r="G74" s="39">
        <f t="shared" si="42"/>
        <v>668.8</v>
      </c>
      <c r="H74" s="40">
        <f t="shared" si="42"/>
        <v>672</v>
      </c>
      <c r="I74" s="40">
        <f t="shared" si="42"/>
        <v>684.7</v>
      </c>
      <c r="J74" s="41">
        <f t="shared" si="42"/>
        <v>970.9</v>
      </c>
      <c r="K74" s="39">
        <f t="shared" si="42"/>
        <v>926.8000000000001</v>
      </c>
      <c r="L74" s="40">
        <f t="shared" si="42"/>
        <v>958.8</v>
      </c>
      <c r="M74" s="40">
        <f t="shared" si="42"/>
        <v>1177.3</v>
      </c>
      <c r="N74" s="41">
        <f t="shared" si="42"/>
        <v>2305.3</v>
      </c>
      <c r="O74" s="39">
        <f t="shared" si="42"/>
        <v>2257</v>
      </c>
      <c r="P74" s="40">
        <f t="shared" si="42"/>
        <v>2389.1</v>
      </c>
      <c r="Q74" s="40">
        <f t="shared" si="42"/>
        <v>2472.7999999999997</v>
      </c>
      <c r="R74" s="41">
        <f t="shared" si="42"/>
        <v>2816.1</v>
      </c>
      <c r="S74" s="39">
        <f t="shared" si="42"/>
        <v>2785.1</v>
      </c>
      <c r="T74" s="40">
        <f t="shared" si="42"/>
        <v>2739.9</v>
      </c>
      <c r="U74" s="40">
        <f t="shared" si="42"/>
        <v>2890.7</v>
      </c>
      <c r="V74" s="41">
        <f t="shared" si="42"/>
        <v>3270.4999999999995</v>
      </c>
      <c r="W74" s="39">
        <f t="shared" si="42"/>
        <v>3213.8</v>
      </c>
      <c r="X74" s="40">
        <f t="shared" si="42"/>
        <v>3142.5</v>
      </c>
      <c r="Y74" s="40">
        <f aca="true" t="shared" si="43" ref="Y74:AD74">SUM(Y75:Y76)</f>
        <v>3137.2000000000003</v>
      </c>
      <c r="Z74" s="41">
        <f t="shared" si="43"/>
        <v>3090.4</v>
      </c>
      <c r="AA74" s="39">
        <f t="shared" si="43"/>
        <v>3023.3</v>
      </c>
      <c r="AB74" s="40">
        <f t="shared" si="43"/>
        <v>2923.3</v>
      </c>
      <c r="AC74" s="40">
        <f t="shared" si="43"/>
        <v>2792.6</v>
      </c>
      <c r="AD74" s="41">
        <f t="shared" si="43"/>
        <v>2628.2999999999997</v>
      </c>
      <c r="AE74" s="40">
        <f>SUM(AE75:AE76)</f>
        <v>2579.2</v>
      </c>
      <c r="AF74" s="40">
        <f>SUM(AF75:AF76)</f>
        <v>2524.5</v>
      </c>
      <c r="AG74" s="40">
        <f>SUM(AG75:AG76)</f>
        <v>2518.2</v>
      </c>
    </row>
    <row r="75" spans="1:33" s="118" customFormat="1" ht="12.75">
      <c r="A75" s="56" t="s">
        <v>629</v>
      </c>
      <c r="B75" s="56" t="s">
        <v>109</v>
      </c>
      <c r="C75" s="57">
        <v>5.4</v>
      </c>
      <c r="D75" s="58">
        <v>10.6</v>
      </c>
      <c r="E75" s="58">
        <v>10.3</v>
      </c>
      <c r="F75" s="58">
        <v>9.9</v>
      </c>
      <c r="G75" s="57">
        <v>12</v>
      </c>
      <c r="H75" s="58">
        <v>16.3</v>
      </c>
      <c r="I75" s="58">
        <v>12.9</v>
      </c>
      <c r="J75" s="59">
        <v>11.9</v>
      </c>
      <c r="K75" s="57">
        <v>7.9</v>
      </c>
      <c r="L75" s="58">
        <v>14.8</v>
      </c>
      <c r="M75" s="58">
        <v>16.8</v>
      </c>
      <c r="N75" s="59">
        <v>7.5</v>
      </c>
      <c r="O75" s="57">
        <v>36.5</v>
      </c>
      <c r="P75" s="58">
        <v>64</v>
      </c>
      <c r="Q75" s="58">
        <v>56</v>
      </c>
      <c r="R75" s="59">
        <v>8.4</v>
      </c>
      <c r="S75" s="57">
        <v>62.7</v>
      </c>
      <c r="T75" s="58">
        <v>64.9</v>
      </c>
      <c r="U75" s="58">
        <v>109</v>
      </c>
      <c r="V75" s="59">
        <v>34.7</v>
      </c>
      <c r="W75" s="57">
        <v>105.3</v>
      </c>
      <c r="X75" s="58">
        <v>114.5</v>
      </c>
      <c r="Y75" s="58">
        <v>86.4</v>
      </c>
      <c r="Z75" s="59">
        <v>9.5</v>
      </c>
      <c r="AA75" s="57">
        <v>64</v>
      </c>
      <c r="AB75" s="58">
        <v>100.4</v>
      </c>
      <c r="AC75" s="58">
        <v>132.4</v>
      </c>
      <c r="AD75" s="59">
        <v>32.6</v>
      </c>
      <c r="AE75" s="58">
        <v>86.5</v>
      </c>
      <c r="AF75" s="58">
        <v>108.2</v>
      </c>
      <c r="AG75" s="58">
        <v>93.1</v>
      </c>
    </row>
    <row r="76" spans="1:33" s="118" customFormat="1" ht="12.75">
      <c r="A76" s="56" t="s">
        <v>630</v>
      </c>
      <c r="B76" s="56" t="s">
        <v>110</v>
      </c>
      <c r="C76" s="57">
        <f>623.7+1.7-3.3</f>
        <v>622.1000000000001</v>
      </c>
      <c r="D76" s="58">
        <f>593.1+2-1.4</f>
        <v>593.7</v>
      </c>
      <c r="E76" s="58">
        <f>600.5+3.2-1.4</f>
        <v>602.3000000000001</v>
      </c>
      <c r="F76" s="58">
        <f>687.3-1.4</f>
        <v>685.9</v>
      </c>
      <c r="G76" s="57">
        <f>658-1.2</f>
        <v>656.8</v>
      </c>
      <c r="H76" s="58">
        <f>658.7-3</f>
        <v>655.7</v>
      </c>
      <c r="I76" s="58">
        <f>675.2-3.4</f>
        <v>671.8000000000001</v>
      </c>
      <c r="J76" s="59">
        <f>962-3</f>
        <v>959</v>
      </c>
      <c r="K76" s="57">
        <f>921.7-2.8</f>
        <v>918.9000000000001</v>
      </c>
      <c r="L76" s="58">
        <f>944.7-0.7</f>
        <v>944</v>
      </c>
      <c r="M76" s="58">
        <v>1160.5</v>
      </c>
      <c r="N76" s="59">
        <v>2297.8</v>
      </c>
      <c r="O76" s="57">
        <v>2220.5</v>
      </c>
      <c r="P76" s="58">
        <f>2325.7-0.6</f>
        <v>2325.1</v>
      </c>
      <c r="Q76" s="58">
        <f>2423.2-6.4</f>
        <v>2416.7999999999997</v>
      </c>
      <c r="R76" s="59">
        <v>2807.7</v>
      </c>
      <c r="S76" s="57">
        <v>2722.4</v>
      </c>
      <c r="T76" s="58">
        <f>-0.6+2675.6</f>
        <v>2675</v>
      </c>
      <c r="U76" s="58">
        <f>-0.8+2782.5</f>
        <v>2781.7</v>
      </c>
      <c r="V76" s="59">
        <v>3235.7999999999997</v>
      </c>
      <c r="W76" s="57">
        <v>3108.5</v>
      </c>
      <c r="X76" s="58">
        <v>3028</v>
      </c>
      <c r="Y76" s="58">
        <v>3050.8</v>
      </c>
      <c r="Z76" s="59">
        <v>3080.9</v>
      </c>
      <c r="AA76" s="57">
        <v>2959.3</v>
      </c>
      <c r="AB76" s="58">
        <v>2822.9</v>
      </c>
      <c r="AC76" s="58">
        <v>2660.2</v>
      </c>
      <c r="AD76" s="59">
        <v>2595.7</v>
      </c>
      <c r="AE76" s="58">
        <v>2492.7</v>
      </c>
      <c r="AF76" s="58">
        <v>2416.3</v>
      </c>
      <c r="AG76" s="58">
        <v>2425.1</v>
      </c>
    </row>
    <row r="77" spans="1:33" ht="12.75">
      <c r="A77" s="38" t="s">
        <v>642</v>
      </c>
      <c r="B77" s="38" t="s">
        <v>99</v>
      </c>
      <c r="C77" s="39">
        <v>0</v>
      </c>
      <c r="D77" s="40">
        <v>0</v>
      </c>
      <c r="E77" s="40">
        <v>0</v>
      </c>
      <c r="F77" s="40">
        <v>0</v>
      </c>
      <c r="G77" s="39">
        <v>0</v>
      </c>
      <c r="H77" s="40">
        <v>0</v>
      </c>
      <c r="I77" s="40">
        <v>0</v>
      </c>
      <c r="J77" s="41">
        <v>0</v>
      </c>
      <c r="K77" s="39">
        <v>0</v>
      </c>
      <c r="L77" s="40">
        <v>0</v>
      </c>
      <c r="M77" s="40">
        <v>0</v>
      </c>
      <c r="N77" s="41">
        <v>0</v>
      </c>
      <c r="O77" s="39">
        <v>0</v>
      </c>
      <c r="P77" s="40">
        <v>0</v>
      </c>
      <c r="Q77" s="40">
        <v>0</v>
      </c>
      <c r="R77" s="41">
        <v>0</v>
      </c>
      <c r="S77" s="39">
        <v>0</v>
      </c>
      <c r="T77" s="40">
        <v>0</v>
      </c>
      <c r="U77" s="40">
        <v>0</v>
      </c>
      <c r="V77" s="41">
        <v>0</v>
      </c>
      <c r="W77" s="39">
        <v>177.5</v>
      </c>
      <c r="X77" s="40">
        <v>172.6</v>
      </c>
      <c r="Y77" s="40">
        <v>11.1</v>
      </c>
      <c r="Z77" s="41">
        <v>12.6</v>
      </c>
      <c r="AA77" s="39">
        <v>11.9</v>
      </c>
      <c r="AB77" s="40">
        <v>0</v>
      </c>
      <c r="AC77" s="40">
        <v>0</v>
      </c>
      <c r="AD77" s="41">
        <v>0</v>
      </c>
      <c r="AE77" s="40">
        <v>0</v>
      </c>
      <c r="AF77" s="40">
        <v>0</v>
      </c>
      <c r="AG77" s="40">
        <v>0</v>
      </c>
    </row>
    <row r="78" spans="1:33" ht="12.75">
      <c r="A78" s="38" t="s">
        <v>643</v>
      </c>
      <c r="B78" s="38" t="s">
        <v>100</v>
      </c>
      <c r="C78" s="39">
        <f>3.3</f>
        <v>3.3</v>
      </c>
      <c r="D78" s="40">
        <f>1.4</f>
        <v>1.4</v>
      </c>
      <c r="E78" s="40">
        <f>1.4</f>
        <v>1.4</v>
      </c>
      <c r="F78" s="40">
        <f>1.4</f>
        <v>1.4</v>
      </c>
      <c r="G78" s="39">
        <v>1.2</v>
      </c>
      <c r="H78" s="40">
        <v>3</v>
      </c>
      <c r="I78" s="40">
        <v>3.4</v>
      </c>
      <c r="J78" s="41">
        <v>3</v>
      </c>
      <c r="K78" s="39">
        <v>2.8</v>
      </c>
      <c r="L78" s="40">
        <v>0.7</v>
      </c>
      <c r="M78" s="40">
        <v>0</v>
      </c>
      <c r="N78" s="41">
        <v>0</v>
      </c>
      <c r="O78" s="39">
        <v>0</v>
      </c>
      <c r="P78" s="40">
        <v>0.6</v>
      </c>
      <c r="Q78" s="40">
        <v>6.4</v>
      </c>
      <c r="R78" s="41">
        <v>4.4</v>
      </c>
      <c r="S78" s="39">
        <v>4</v>
      </c>
      <c r="T78" s="40">
        <v>0.6</v>
      </c>
      <c r="U78" s="40">
        <v>0.8</v>
      </c>
      <c r="V78" s="41">
        <v>2.3</v>
      </c>
      <c r="W78" s="39">
        <v>5.7</v>
      </c>
      <c r="X78" s="40">
        <v>18.9</v>
      </c>
      <c r="Y78" s="40">
        <v>24.400000000000002</v>
      </c>
      <c r="Z78" s="41">
        <v>23.299999999999997</v>
      </c>
      <c r="AA78" s="39">
        <v>11.8</v>
      </c>
      <c r="AB78" s="40">
        <v>11.5</v>
      </c>
      <c r="AC78" s="40">
        <v>11.200000000000001</v>
      </c>
      <c r="AD78" s="41">
        <v>16.6</v>
      </c>
      <c r="AE78" s="40">
        <v>21.700000000000003</v>
      </c>
      <c r="AF78" s="40">
        <v>32.1</v>
      </c>
      <c r="AG78" s="40">
        <v>30.1</v>
      </c>
    </row>
    <row r="79" spans="1:33" ht="12.75">
      <c r="A79" s="38" t="s">
        <v>644</v>
      </c>
      <c r="B79" s="38" t="s">
        <v>593</v>
      </c>
      <c r="C79" s="39">
        <v>0</v>
      </c>
      <c r="D79" s="40">
        <v>0</v>
      </c>
      <c r="E79" s="40">
        <v>0</v>
      </c>
      <c r="F79" s="40">
        <v>0</v>
      </c>
      <c r="G79" s="39">
        <v>0</v>
      </c>
      <c r="H79" s="40">
        <v>0</v>
      </c>
      <c r="I79" s="40">
        <v>0</v>
      </c>
      <c r="J79" s="41">
        <v>81.09999999999991</v>
      </c>
      <c r="K79" s="39">
        <v>82.5</v>
      </c>
      <c r="L79" s="40">
        <v>83.09999999999991</v>
      </c>
      <c r="M79" s="40">
        <v>96.5</v>
      </c>
      <c r="N79" s="41">
        <v>338.9000000000001</v>
      </c>
      <c r="O79" s="39">
        <v>352.0999999999999</v>
      </c>
      <c r="P79" s="40">
        <v>405.2000000000003</v>
      </c>
      <c r="Q79" s="40">
        <v>455.0999999999999</v>
      </c>
      <c r="R79" s="41">
        <v>531.3000000000002</v>
      </c>
      <c r="S79" s="39">
        <v>536.0999999999999</v>
      </c>
      <c r="T79" s="40">
        <v>530.4000000000001</v>
      </c>
      <c r="U79" s="40">
        <v>556.6000000000004</v>
      </c>
      <c r="V79" s="41">
        <v>640.9000000000001</v>
      </c>
      <c r="W79" s="39">
        <v>654.5</v>
      </c>
      <c r="X79" s="40">
        <v>690.8000000000002</v>
      </c>
      <c r="Y79" s="40">
        <v>741.5</v>
      </c>
      <c r="Z79" s="41">
        <v>789.4000000000005</v>
      </c>
      <c r="AA79" s="39">
        <v>789.3000000000002</v>
      </c>
      <c r="AB79" s="40">
        <v>752.6999999999998</v>
      </c>
      <c r="AC79" s="40">
        <v>785.7000000000003</v>
      </c>
      <c r="AD79" s="41">
        <v>930.8999999999996</v>
      </c>
      <c r="AE79" s="40">
        <v>958.4</v>
      </c>
      <c r="AF79" s="40">
        <v>974.4</v>
      </c>
      <c r="AG79" s="40">
        <v>1060.3</v>
      </c>
    </row>
    <row r="80" spans="1:33" ht="12.75">
      <c r="A80" s="38" t="s">
        <v>645</v>
      </c>
      <c r="B80" s="38" t="s">
        <v>594</v>
      </c>
      <c r="C80" s="39">
        <v>0</v>
      </c>
      <c r="D80" s="40">
        <v>0</v>
      </c>
      <c r="E80" s="40">
        <v>0</v>
      </c>
      <c r="F80" s="40">
        <v>0</v>
      </c>
      <c r="G80" s="39">
        <v>0</v>
      </c>
      <c r="H80" s="40">
        <v>0</v>
      </c>
      <c r="I80" s="40">
        <v>0</v>
      </c>
      <c r="J80" s="41">
        <v>1654</v>
      </c>
      <c r="K80" s="39">
        <v>3775.2</v>
      </c>
      <c r="L80" s="40">
        <v>3439.1</v>
      </c>
      <c r="M80" s="40">
        <v>3348.9</v>
      </c>
      <c r="N80" s="41">
        <v>3261.9</v>
      </c>
      <c r="O80" s="39">
        <v>3147.9</v>
      </c>
      <c r="P80" s="40">
        <v>3447.7</v>
      </c>
      <c r="Q80" s="40">
        <v>3425.1</v>
      </c>
      <c r="R80" s="41">
        <v>3268.5</v>
      </c>
      <c r="S80" s="39">
        <v>3215.6</v>
      </c>
      <c r="T80" s="40">
        <v>3189</v>
      </c>
      <c r="U80" s="40">
        <v>3786.2</v>
      </c>
      <c r="V80" s="41">
        <v>3872.6</v>
      </c>
      <c r="W80" s="39">
        <v>3680.7</v>
      </c>
      <c r="X80" s="40">
        <v>3758.2</v>
      </c>
      <c r="Y80" s="40">
        <v>3732.5</v>
      </c>
      <c r="Z80" s="41">
        <v>3779.7</v>
      </c>
      <c r="AA80" s="39">
        <v>3817.7</v>
      </c>
      <c r="AB80" s="40">
        <v>3794.3</v>
      </c>
      <c r="AC80" s="40">
        <v>3723.1</v>
      </c>
      <c r="AD80" s="41">
        <v>3685.8</v>
      </c>
      <c r="AE80" s="40">
        <v>3750.2</v>
      </c>
      <c r="AF80" s="40">
        <v>3723.5</v>
      </c>
      <c r="AG80" s="40">
        <v>3800.5</v>
      </c>
    </row>
    <row r="81" spans="1:33" ht="12.75">
      <c r="A81" s="38" t="s">
        <v>306</v>
      </c>
      <c r="B81" s="38" t="s">
        <v>101</v>
      </c>
      <c r="C81" s="39">
        <v>0</v>
      </c>
      <c r="D81" s="40">
        <v>0</v>
      </c>
      <c r="E81" s="40">
        <v>0</v>
      </c>
      <c r="F81" s="40">
        <v>0</v>
      </c>
      <c r="G81" s="39">
        <v>0</v>
      </c>
      <c r="H81" s="40">
        <v>0</v>
      </c>
      <c r="I81" s="40">
        <v>0</v>
      </c>
      <c r="J81" s="41">
        <v>0</v>
      </c>
      <c r="K81" s="39">
        <v>0</v>
      </c>
      <c r="L81" s="40">
        <v>0.1</v>
      </c>
      <c r="M81" s="40">
        <v>0.1</v>
      </c>
      <c r="N81" s="41">
        <v>0</v>
      </c>
      <c r="O81" s="39">
        <v>0.1</v>
      </c>
      <c r="P81" s="40">
        <v>0</v>
      </c>
      <c r="Q81" s="40">
        <v>0.2</v>
      </c>
      <c r="R81" s="41">
        <v>0.1</v>
      </c>
      <c r="S81" s="39">
        <v>0.1</v>
      </c>
      <c r="T81" s="40">
        <v>0.3</v>
      </c>
      <c r="U81" s="40">
        <v>0.1</v>
      </c>
      <c r="V81" s="41">
        <v>0.1</v>
      </c>
      <c r="W81" s="39">
        <v>0</v>
      </c>
      <c r="X81" s="40">
        <v>0.1</v>
      </c>
      <c r="Y81" s="40">
        <v>0.1</v>
      </c>
      <c r="Z81" s="41">
        <v>0.3</v>
      </c>
      <c r="AA81" s="39">
        <v>0.2</v>
      </c>
      <c r="AB81" s="40">
        <v>0.1</v>
      </c>
      <c r="AC81" s="40">
        <v>0.1</v>
      </c>
      <c r="AD81" s="41">
        <v>0.1</v>
      </c>
      <c r="AE81" s="40">
        <v>0.1</v>
      </c>
      <c r="AF81" s="40">
        <v>0.1</v>
      </c>
      <c r="AG81" s="40">
        <v>0.1</v>
      </c>
    </row>
    <row r="82" spans="1:33" s="12" customFormat="1" ht="12">
      <c r="A82" s="10" t="s">
        <v>318</v>
      </c>
      <c r="B82" s="10" t="s">
        <v>102</v>
      </c>
      <c r="C82" s="209">
        <f>SUM(C74,C77:C81)</f>
        <v>630.8000000000001</v>
      </c>
      <c r="D82" s="210">
        <f aca="true" t="shared" si="44" ref="D82:AD82">SUM(D74,D77:D81)</f>
        <v>605.7</v>
      </c>
      <c r="E82" s="210">
        <f t="shared" si="44"/>
        <v>614</v>
      </c>
      <c r="F82" s="210">
        <f t="shared" si="44"/>
        <v>697.1999999999999</v>
      </c>
      <c r="G82" s="209">
        <f t="shared" si="44"/>
        <v>670</v>
      </c>
      <c r="H82" s="210">
        <f t="shared" si="44"/>
        <v>675</v>
      </c>
      <c r="I82" s="210">
        <f t="shared" si="44"/>
        <v>688.1</v>
      </c>
      <c r="J82" s="211">
        <f t="shared" si="44"/>
        <v>2709</v>
      </c>
      <c r="K82" s="209">
        <f t="shared" si="44"/>
        <v>4787.3</v>
      </c>
      <c r="L82" s="210">
        <f t="shared" si="44"/>
        <v>4481.8</v>
      </c>
      <c r="M82" s="210">
        <f t="shared" si="44"/>
        <v>4622.8</v>
      </c>
      <c r="N82" s="211">
        <f t="shared" si="44"/>
        <v>5906.1</v>
      </c>
      <c r="O82" s="209">
        <f t="shared" si="44"/>
        <v>5757.1</v>
      </c>
      <c r="P82" s="210">
        <f t="shared" si="44"/>
        <v>6242.6</v>
      </c>
      <c r="Q82" s="210">
        <f t="shared" si="44"/>
        <v>6359.599999999999</v>
      </c>
      <c r="R82" s="211">
        <f t="shared" si="44"/>
        <v>6620.400000000001</v>
      </c>
      <c r="S82" s="209">
        <f t="shared" si="44"/>
        <v>6540.9</v>
      </c>
      <c r="T82" s="210">
        <f t="shared" si="44"/>
        <v>6460.2</v>
      </c>
      <c r="U82" s="210">
        <f t="shared" si="44"/>
        <v>7234.400000000001</v>
      </c>
      <c r="V82" s="211">
        <f t="shared" si="44"/>
        <v>7786.4</v>
      </c>
      <c r="W82" s="209">
        <f t="shared" si="44"/>
        <v>7732.2</v>
      </c>
      <c r="X82" s="210">
        <f t="shared" si="44"/>
        <v>7783.1</v>
      </c>
      <c r="Y82" s="210">
        <f t="shared" si="44"/>
        <v>7646.800000000001</v>
      </c>
      <c r="Z82" s="211">
        <f t="shared" si="44"/>
        <v>7695.700000000001</v>
      </c>
      <c r="AA82" s="209">
        <f t="shared" si="44"/>
        <v>7654.2</v>
      </c>
      <c r="AB82" s="210">
        <f t="shared" si="44"/>
        <v>7481.900000000001</v>
      </c>
      <c r="AC82" s="210">
        <f t="shared" si="44"/>
        <v>7312.700000000001</v>
      </c>
      <c r="AD82" s="211">
        <f t="shared" si="44"/>
        <v>7261.7</v>
      </c>
      <c r="AE82" s="210">
        <f>SUM(AE74,AE77:AE81)</f>
        <v>7309.6</v>
      </c>
      <c r="AF82" s="210">
        <f>SUM(AF74,AF77:AF81)</f>
        <v>7254.6</v>
      </c>
      <c r="AG82" s="210">
        <f>SUM(AG74,AG77:AG81)</f>
        <v>7409.2</v>
      </c>
    </row>
    <row r="83" spans="1:33" ht="12.75">
      <c r="A83" s="38" t="s">
        <v>308</v>
      </c>
      <c r="B83" s="38" t="s">
        <v>103</v>
      </c>
      <c r="C83" s="39">
        <f>SUM(C84:C85)</f>
        <v>-34.7</v>
      </c>
      <c r="D83" s="40">
        <f aca="true" t="shared" si="45" ref="D83:Y83">SUM(D84:D85)</f>
        <v>-32.6</v>
      </c>
      <c r="E83" s="40">
        <f t="shared" si="45"/>
        <v>-30.8</v>
      </c>
      <c r="F83" s="40">
        <f t="shared" si="45"/>
        <v>-29.5</v>
      </c>
      <c r="G83" s="39">
        <f t="shared" si="45"/>
        <v>-28.4</v>
      </c>
      <c r="H83" s="40">
        <f t="shared" si="45"/>
        <v>-26.9</v>
      </c>
      <c r="I83" s="40">
        <f t="shared" si="45"/>
        <v>-17.2</v>
      </c>
      <c r="J83" s="41">
        <f t="shared" si="45"/>
        <v>-17.9</v>
      </c>
      <c r="K83" s="39">
        <f t="shared" si="45"/>
        <v>-17.2</v>
      </c>
      <c r="L83" s="40">
        <f t="shared" si="45"/>
        <v>-7.5</v>
      </c>
      <c r="M83" s="40">
        <f t="shared" si="45"/>
        <v>-2.9</v>
      </c>
      <c r="N83" s="41">
        <f t="shared" si="45"/>
        <v>-5.4</v>
      </c>
      <c r="O83" s="39">
        <f t="shared" si="45"/>
        <v>-2.2</v>
      </c>
      <c r="P83" s="40">
        <f t="shared" si="45"/>
        <v>-2.2</v>
      </c>
      <c r="Q83" s="40">
        <f t="shared" si="45"/>
        <v>-2.3</v>
      </c>
      <c r="R83" s="41">
        <f t="shared" si="45"/>
        <v>-1.5</v>
      </c>
      <c r="S83" s="39">
        <f t="shared" si="45"/>
        <v>-1.5</v>
      </c>
      <c r="T83" s="40">
        <f t="shared" si="45"/>
        <v>-1.4</v>
      </c>
      <c r="U83" s="40">
        <f t="shared" si="45"/>
        <v>-1.5</v>
      </c>
      <c r="V83" s="41">
        <f t="shared" si="45"/>
        <v>-1.4</v>
      </c>
      <c r="W83" s="39">
        <f t="shared" si="45"/>
        <v>-1.4</v>
      </c>
      <c r="X83" s="40">
        <f t="shared" si="45"/>
        <v>-1.5</v>
      </c>
      <c r="Y83" s="40">
        <f t="shared" si="45"/>
        <v>-0.7999999999999999</v>
      </c>
      <c r="Z83" s="41">
        <f aca="true" t="shared" si="46" ref="Z83:AF83">SUM(Z84:Z85)</f>
        <v>-0.8</v>
      </c>
      <c r="AA83" s="39">
        <f t="shared" si="46"/>
        <v>-0.8</v>
      </c>
      <c r="AB83" s="40">
        <f t="shared" si="46"/>
        <v>-0.6</v>
      </c>
      <c r="AC83" s="40">
        <f t="shared" si="46"/>
        <v>-0.6</v>
      </c>
      <c r="AD83" s="41">
        <f t="shared" si="46"/>
        <v>-1</v>
      </c>
      <c r="AE83" s="40">
        <f t="shared" si="46"/>
        <v>-1.2</v>
      </c>
      <c r="AF83" s="40">
        <f t="shared" si="46"/>
        <v>-1.2</v>
      </c>
      <c r="AG83" s="40">
        <f>SUM(AG84:AG85)</f>
        <v>-1.2</v>
      </c>
    </row>
    <row r="84" spans="1:33" s="118" customFormat="1" ht="12.75">
      <c r="A84" s="116" t="s">
        <v>309</v>
      </c>
      <c r="B84" s="116" t="s">
        <v>104</v>
      </c>
      <c r="C84" s="57">
        <v>-34.7</v>
      </c>
      <c r="D84" s="58">
        <v>-32.6</v>
      </c>
      <c r="E84" s="58">
        <v>-30.8</v>
      </c>
      <c r="F84" s="58">
        <v>-29.5</v>
      </c>
      <c r="G84" s="57">
        <v>-28.4</v>
      </c>
      <c r="H84" s="58">
        <v>-26.9</v>
      </c>
      <c r="I84" s="58">
        <v>-17.2</v>
      </c>
      <c r="J84" s="59">
        <v>-17.9</v>
      </c>
      <c r="K84" s="57">
        <v>-17.2</v>
      </c>
      <c r="L84" s="58">
        <v>-7.5</v>
      </c>
      <c r="M84" s="58">
        <v>-2.9</v>
      </c>
      <c r="N84" s="59">
        <v>-5.4</v>
      </c>
      <c r="O84" s="57">
        <v>-2.2</v>
      </c>
      <c r="P84" s="58">
        <v>-2.2</v>
      </c>
      <c r="Q84" s="58">
        <v>-2.3</v>
      </c>
      <c r="R84" s="59">
        <v>-1.5</v>
      </c>
      <c r="S84" s="57">
        <v>-1.5</v>
      </c>
      <c r="T84" s="58">
        <v>-1.4</v>
      </c>
      <c r="U84" s="58">
        <v>-1.5</v>
      </c>
      <c r="V84" s="59">
        <v>-1.4</v>
      </c>
      <c r="W84" s="57">
        <v>-1.4</v>
      </c>
      <c r="X84" s="58">
        <v>-1.5</v>
      </c>
      <c r="Y84" s="58">
        <v>-0.7</v>
      </c>
      <c r="Z84" s="59">
        <v>-0.8</v>
      </c>
      <c r="AA84" s="57">
        <v>-0.8</v>
      </c>
      <c r="AB84" s="58">
        <v>-0.6</v>
      </c>
      <c r="AC84" s="58">
        <v>-0.6</v>
      </c>
      <c r="AD84" s="59">
        <v>-1</v>
      </c>
      <c r="AE84" s="58">
        <v>-1.2</v>
      </c>
      <c r="AF84" s="58">
        <v>-1.2</v>
      </c>
      <c r="AG84" s="58">
        <v>-1.2</v>
      </c>
    </row>
    <row r="85" spans="1:33" s="118" customFormat="1" ht="12.75">
      <c r="A85" s="56" t="s">
        <v>311</v>
      </c>
      <c r="B85" s="56" t="s">
        <v>106</v>
      </c>
      <c r="C85" s="57">
        <v>0</v>
      </c>
      <c r="D85" s="58">
        <v>0</v>
      </c>
      <c r="E85" s="58">
        <v>0</v>
      </c>
      <c r="F85" s="58">
        <v>0</v>
      </c>
      <c r="G85" s="57">
        <v>0</v>
      </c>
      <c r="H85" s="58">
        <v>0</v>
      </c>
      <c r="I85" s="58">
        <v>0</v>
      </c>
      <c r="J85" s="59">
        <v>0</v>
      </c>
      <c r="K85" s="57">
        <v>0</v>
      </c>
      <c r="L85" s="58">
        <v>0</v>
      </c>
      <c r="M85" s="58">
        <v>0</v>
      </c>
      <c r="N85" s="59">
        <v>0</v>
      </c>
      <c r="O85" s="57">
        <v>0</v>
      </c>
      <c r="P85" s="58">
        <v>0</v>
      </c>
      <c r="Q85" s="58">
        <v>0</v>
      </c>
      <c r="R85" s="59">
        <v>0</v>
      </c>
      <c r="S85" s="57">
        <v>0</v>
      </c>
      <c r="T85" s="58">
        <v>0</v>
      </c>
      <c r="U85" s="58">
        <v>0</v>
      </c>
      <c r="V85" s="59">
        <v>0</v>
      </c>
      <c r="W85" s="57">
        <v>0</v>
      </c>
      <c r="X85" s="58">
        <v>0</v>
      </c>
      <c r="Y85" s="58">
        <v>-0.1</v>
      </c>
      <c r="Z85" s="59">
        <v>0</v>
      </c>
      <c r="AA85" s="57">
        <v>0</v>
      </c>
      <c r="AB85" s="58">
        <v>0</v>
      </c>
      <c r="AC85" s="58">
        <v>0</v>
      </c>
      <c r="AD85" s="59">
        <v>0</v>
      </c>
      <c r="AE85" s="58">
        <v>0</v>
      </c>
      <c r="AF85" s="58">
        <v>0</v>
      </c>
      <c r="AG85" s="58">
        <v>0</v>
      </c>
    </row>
    <row r="86" spans="1:33" s="13" customFormat="1" ht="18" customHeight="1">
      <c r="A86" s="99" t="s">
        <v>319</v>
      </c>
      <c r="B86" s="99" t="s">
        <v>111</v>
      </c>
      <c r="C86" s="94">
        <f>C82+C83</f>
        <v>596.1</v>
      </c>
      <c r="D86" s="95">
        <f aca="true" t="shared" si="47" ref="D86:X86">D82+D83</f>
        <v>573.1</v>
      </c>
      <c r="E86" s="95">
        <f t="shared" si="47"/>
        <v>583.2</v>
      </c>
      <c r="F86" s="95">
        <f t="shared" si="47"/>
        <v>667.6999999999999</v>
      </c>
      <c r="G86" s="94">
        <f t="shared" si="47"/>
        <v>641.6</v>
      </c>
      <c r="H86" s="95">
        <f t="shared" si="47"/>
        <v>648.1</v>
      </c>
      <c r="I86" s="95">
        <f t="shared" si="47"/>
        <v>670.9</v>
      </c>
      <c r="J86" s="96">
        <f t="shared" si="47"/>
        <v>2691.1</v>
      </c>
      <c r="K86" s="94">
        <f t="shared" si="47"/>
        <v>4770.1</v>
      </c>
      <c r="L86" s="95">
        <f t="shared" si="47"/>
        <v>4474.3</v>
      </c>
      <c r="M86" s="95">
        <f t="shared" si="47"/>
        <v>4619.900000000001</v>
      </c>
      <c r="N86" s="96">
        <f t="shared" si="47"/>
        <v>5900.700000000001</v>
      </c>
      <c r="O86" s="94">
        <f t="shared" si="47"/>
        <v>5754.900000000001</v>
      </c>
      <c r="P86" s="95">
        <f t="shared" si="47"/>
        <v>6240.400000000001</v>
      </c>
      <c r="Q86" s="95">
        <f t="shared" si="47"/>
        <v>6357.299999999999</v>
      </c>
      <c r="R86" s="96">
        <f t="shared" si="47"/>
        <v>6618.900000000001</v>
      </c>
      <c r="S86" s="94">
        <f t="shared" si="47"/>
        <v>6539.4</v>
      </c>
      <c r="T86" s="95">
        <f t="shared" si="47"/>
        <v>6458.8</v>
      </c>
      <c r="U86" s="95">
        <f t="shared" si="47"/>
        <v>7232.900000000001</v>
      </c>
      <c r="V86" s="96">
        <f t="shared" si="47"/>
        <v>7785</v>
      </c>
      <c r="W86" s="94">
        <f t="shared" si="47"/>
        <v>7730.8</v>
      </c>
      <c r="X86" s="95">
        <f t="shared" si="47"/>
        <v>7781.6</v>
      </c>
      <c r="Y86" s="95">
        <f aca="true" t="shared" si="48" ref="Y86:AD86">Y82+Y83</f>
        <v>7646.000000000001</v>
      </c>
      <c r="Z86" s="96">
        <f t="shared" si="48"/>
        <v>7694.900000000001</v>
      </c>
      <c r="AA86" s="94">
        <f t="shared" si="48"/>
        <v>7653.4</v>
      </c>
      <c r="AB86" s="95">
        <f t="shared" si="48"/>
        <v>7481.3</v>
      </c>
      <c r="AC86" s="95">
        <f t="shared" si="48"/>
        <v>7312.1</v>
      </c>
      <c r="AD86" s="96">
        <f t="shared" si="48"/>
        <v>7260.7</v>
      </c>
      <c r="AE86" s="95">
        <f>AE82+AE83</f>
        <v>7308.400000000001</v>
      </c>
      <c r="AF86" s="95">
        <f>AF82+AF83</f>
        <v>7253.400000000001</v>
      </c>
      <c r="AG86" s="95">
        <f>AG82+AG83</f>
        <v>7408</v>
      </c>
    </row>
    <row r="91" spans="3:33" ht="12.75">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row>
    <row r="92" spans="3:33" ht="12.75">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row>
  </sheetData>
  <sheetProtection/>
  <mergeCells count="10">
    <mergeCell ref="AE2:AG2"/>
    <mergeCell ref="AA2:AD2"/>
    <mergeCell ref="W2:Z2"/>
    <mergeCell ref="S2:V2"/>
    <mergeCell ref="A2:A3"/>
    <mergeCell ref="B2:B3"/>
    <mergeCell ref="C2:F2"/>
    <mergeCell ref="G2:J2"/>
    <mergeCell ref="K2:N2"/>
    <mergeCell ref="O2:R2"/>
  </mergeCells>
  <printOptions horizontalCentered="1"/>
  <pageMargins left="0.25" right="0.25" top="0.75" bottom="0.75" header="0.3" footer="0.3"/>
  <pageSetup horizontalDpi="600" verticalDpi="600" orientation="landscape" paperSize="9" scale="43" r:id="rId1"/>
  <headerFooter alignWithMargins="0">
    <oddHeader>&amp;C&amp;"Times New Roman,Kursywa"&amp;12
</oddHeader>
  </headerFooter>
  <ignoredErrors>
    <ignoredError sqref="D28:E32 D33:E33 D35:E39 F35:Z39 F33:Z33 F28:Z32 F34:AD34 AA28:AD32 AA33:AD33 F40:AD66 AA35:AD39 AE77:AE82 AE60:AE64 AE28 AE35:AE38 AF5 AE66:AE69 AE71:AE76 AE30:AE33 AE40:AE59 F68:AD86 F67:AB67 AD67 AF28:AF90"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