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0230" yWindow="45" windowWidth="10275" windowHeight="8115" tabRatio="785" activeTab="0"/>
  </bookViews>
  <sheets>
    <sheet name="Kluczowe informacje_Key data" sheetId="1" r:id="rId1"/>
    <sheet name="RZiS_P&amp;L" sheetId="2" r:id="rId2"/>
    <sheet name="RZiS B. Korp._P&amp;L Corporate" sheetId="3" r:id="rId3"/>
    <sheet name="RZiS B. Detaliczna_P&amp;L Retail" sheetId="4" r:id="rId4"/>
    <sheet name="Wynik odsetkowy_Interest income" sheetId="5" r:id="rId5"/>
    <sheet name="Wynik prowizyjny_F&amp;C income" sheetId="6" r:id="rId6"/>
    <sheet name="Pozost. przychody_Other income" sheetId="7" r:id="rId7"/>
    <sheet name="Bilans_BS" sheetId="8" r:id="rId8"/>
    <sheet name="Kredyty_loans" sheetId="9" r:id="rId9"/>
    <sheet name="Jakość portfela_Portf. quality" sheetId="10" r:id="rId10"/>
    <sheet name="Aktywa finans_Financial assets" sheetId="11" r:id="rId11"/>
    <sheet name="Depozyty i zobow_Deposits &amp;liab" sheetId="12" r:id="rId12"/>
    <sheet name="Łączny współ kap_TCR_GROUP" sheetId="13" r:id="rId13"/>
    <sheet name="Pozostałe informacje_other info" sheetId="14" r:id="rId14"/>
  </sheets>
  <definedNames>
    <definedName name="_AMO_UniqueIdentifier" hidden="1">"'7fbdc4b5-972f-4100-9e99-b44859b6f5b1'"</definedName>
    <definedName name="_xlnm.Print_Area" localSheetId="10">'Aktywa finans_Financial assets'!$A$1:$AQ$21</definedName>
    <definedName name="_xlnm.Print_Area" localSheetId="7">'Bilans_BS'!$A$1:$AQ$60</definedName>
    <definedName name="_xlnm.Print_Area" localSheetId="11">'Depozyty i zobow_Deposits &amp;liab'!$A$1:$AQ$41</definedName>
    <definedName name="_xlnm.Print_Area" localSheetId="9">'Jakość portfela_Portf. quality'!$A$1:$AQ$38</definedName>
    <definedName name="_xlnm.Print_Area" localSheetId="0">'Kluczowe informacje_Key data'!$A$1:$AQ$55</definedName>
    <definedName name="_xlnm.Print_Area" localSheetId="8">'Kredyty_loans'!$A$1:$AQ$91</definedName>
    <definedName name="_xlnm.Print_Area" localSheetId="12">'Łączny współ kap_TCR_GROUP'!$A$1:$AQ$84</definedName>
    <definedName name="_xlnm.Print_Area" localSheetId="6">'Pozost. przychody_Other income'!$A$1:$AQ$30</definedName>
    <definedName name="_xlnm.Print_Area" localSheetId="3">'RZiS B. Detaliczna_P&amp;L Retail'!$A$1:$AQ$19</definedName>
    <definedName name="_xlnm.Print_Area" localSheetId="2">'RZiS B. Korp._P&amp;L Corporate'!$A$1:$AQ$19</definedName>
    <definedName name="_xlnm.Print_Area" localSheetId="1">'RZiS_P&amp;L'!$A$1:$AQ$28</definedName>
    <definedName name="_xlnm.Print_Area" localSheetId="4">'Wynik odsetkowy_Interest income'!$A$1:$AQ$28</definedName>
    <definedName name="_xlnm.Print_Area" localSheetId="5">'Wynik prowizyjny_F&amp;C income'!$A$1:$AQ$23</definedName>
  </definedNames>
  <calcPr fullCalcOnLoad="1"/>
</workbook>
</file>

<file path=xl/comments13.xml><?xml version="1.0" encoding="utf-8"?>
<comments xmlns="http://schemas.openxmlformats.org/spreadsheetml/2006/main">
  <authors>
    <author>Autor</author>
  </authors>
  <commentList>
    <comment ref="F11" authorId="0">
      <text>
        <r>
          <rPr>
            <sz val="8"/>
            <rFont val="Tahoma"/>
            <family val="2"/>
          </rPr>
          <t>Do końca 2007 roku Bank kalkulował bazę kapitałową oraz wymogi kapitałowe zgodnie z postanowieniami Basel I.
Począwszy od roku 2008 kalkulacja współczynnika odbywała się w oparciu o postanowienia Basel II.
By the end of 2007, the Bank had calculated capital base and capital requirements in accordance  with the provisions of Basel I.
Starting from2008, the rate calculation was based on the provisions of Basel II.</t>
        </r>
      </text>
    </comment>
    <comment ref="U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metody AIRB był niższy niż wg metody SA do obliczenia przyjmowało się metodę SA, przy czym bazę kapitałową (fundusze własne) przyjmowało się wg metody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should be met by AIRB.</t>
        </r>
      </text>
    </comment>
    <comment ref="AD11" authorId="0">
      <text>
        <r>
          <rPr>
            <sz val="8"/>
            <rFont val="Tahoma"/>
            <family val="2"/>
          </rPr>
          <t>Począwszy od roku 2014 kalkulacja łącznego współczynnika kapitałowego (dawniej  współczynnik wypłacalności) odbywa się w oparciu o postanowienia Basel III, z uwzględnieniem tzw. opcji narodowych według stanu dotychczasowego (np. wagi ryzyka dla kredytów hipotecznych).
Starting from 2014, the total capital ratio (solvency ratio previously) calculation is based on the provisions of Basel III, taking account of the so-called national options to-date (e.g. risk weights for mortgage loans).</t>
        </r>
      </text>
    </comment>
  </commentList>
</comments>
</file>

<file path=xl/sharedStrings.xml><?xml version="1.0" encoding="utf-8"?>
<sst xmlns="http://schemas.openxmlformats.org/spreadsheetml/2006/main" count="1649" uniqueCount="370">
  <si>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</si>
  <si>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</si>
  <si>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</si>
  <si>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</si>
  <si>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</si>
  <si>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</si>
  <si>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</si>
  <si>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</si>
  <si>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</si>
  <si>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</si>
  <si>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</si>
  <si>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</si>
  <si>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</si>
  <si>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</si>
  <si>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</si>
  <si>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</si>
  <si>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</si>
  <si>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</si>
  <si>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</si>
  <si>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</si>
  <si>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</si>
  <si>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</si>
  <si>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</si>
  <si>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</si>
  <si>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</si>
  <si>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</si>
  <si>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</si>
  <si>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</si>
  <si>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</si>
  <si>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</si>
  <si>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</si>
  <si>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</si>
  <si>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</si>
  <si>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</si>
  <si>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</si>
  <si>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</si>
  <si>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</si>
  <si>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</si>
  <si>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</si>
  <si>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</si>
  <si>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</si>
  <si>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</si>
  <si>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</si>
  <si>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</si>
  <si>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</si>
  <si>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</si>
  <si>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</si>
  <si>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</si>
  <si>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</si>
  <si>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</si>
  <si>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</si>
  <si>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</si>
  <si>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</si>
  <si>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</si>
  <si>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</si>
  <si>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</si>
  <si>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</si>
  <si>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</si>
  <si>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</si>
  <si>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</si>
  <si>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</si>
  <si>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</si>
  <si>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</si>
  <si>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</si>
  <si>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</si>
  <si>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</si>
  <si>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</si>
  <si>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</si>
  <si>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</si>
  <si>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</si>
  <si>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</si>
  <si>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</si>
  <si>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</si>
  <si>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</si>
  <si>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</si>
  <si>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</si>
  <si>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</si>
  <si>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</si>
  <si>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</si>
  <si>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</si>
  <si>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</si>
  <si>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</si>
  <si>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</si>
  <si>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</si>
  <si>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</si>
  <si>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</si>
  <si>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</si>
  <si>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</si>
  <si>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subscription of structured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</si>
  <si>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</si>
  <si>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</si>
  <si>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</si>
  <si>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</si>
  <si>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</si>
  <si>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</si>
  <si>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</si>
  <si>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</si>
  <si>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</si>
  <si>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</si>
  <si>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</si>
  <si>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</si>
  <si>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</si>
  <si>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</si>
  <si>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</si>
  <si>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</si>
  <si>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</si>
  <si>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</si>
  <si>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</si>
  <si>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</si>
  <si>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</si>
  <si>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</si>
  <si>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</si>
  <si>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</si>
  <si>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</si>
  <si>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</si>
  <si>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</si>
  <si>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</si>
  <si>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</si>
  <si>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</si>
  <si>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</si>
  <si>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</si>
  <si>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</si>
  <si>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</si>
  <si>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Leasing receivables</t>
  </si>
  <si>
    <t>Factoring receivables</t>
  </si>
  <si>
    <t>Other receivables</t>
  </si>
  <si>
    <t>Total loans and receivables to customers (gross)</t>
  </si>
  <si>
    <t>Impairment losses, of which:</t>
  </si>
  <si>
    <t xml:space="preserve"> - concerning loans and advances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</si>
  <si>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</si>
  <si>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</si>
  <si>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</si>
  <si>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</si>
  <si>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</si>
  <si>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</si>
  <si>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</si>
  <si>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</si>
  <si>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</si>
  <si>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</si>
  <si>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</si>
  <si>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</si>
  <si>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</si>
  <si>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</si>
  <si>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</si>
  <si>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</si>
  <si>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</si>
  <si>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</si>
  <si>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</si>
  <si>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</si>
  <si>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</si>
  <si>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</si>
  <si>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</si>
  <si>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</si>
  <si>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</si>
  <si>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</si>
  <si>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</si>
  <si>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</si>
  <si>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</si>
  <si>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</si>
  <si>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</si>
  <si>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</si>
  <si>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</si>
  <si>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</si>
  <si>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Liabilities due to entities from the government and self-government institutions’ sector</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</si>
  <si>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</si>
  <si>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</si>
  <si>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</si>
  <si>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</si>
  <si>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</si>
  <si>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</si>
  <si>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</si>
  <si>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</si>
  <si>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</si>
  <si>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</si>
  <si>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</si>
  <si>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</si>
  <si>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</si>
  <si>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</si>
  <si>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</si>
  <si>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rPr>
      <t>1</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</si>
  <si>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</si>
  <si>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</si>
  <si>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</si>
  <si>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</si>
  <si>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</si>
  <si>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</si>
  <si>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</si>
  <si>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</si>
  <si>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</si>
  <si>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</si>
  <si>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</si>
  <si>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</si>
  <si>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t>Basic ratios:</t>
  </si>
  <si>
    <t>Other quantitative data:</t>
  </si>
  <si>
    <t>Net book value</t>
  </si>
  <si>
    <t>Information for investors and shareholders:</t>
  </si>
  <si>
    <t>Share price in PLN</t>
  </si>
  <si>
    <t>Net book value per share in PLN</t>
  </si>
  <si>
    <t>Market capitalisation</t>
  </si>
  <si>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</si>
  <si>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</si>
  <si>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</si>
  <si>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</si>
  <si>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</si>
  <si>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</si>
  <si>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</si>
  <si>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</si>
  <si>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</si>
  <si>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</si>
  <si>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</si>
  <si>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</si>
  <si>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</si>
  <si>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</si>
  <si>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</si>
  <si>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t>-</t>
  </si>
  <si>
    <r>
      <t>1</t>
    </r>
    <r>
      <rPr>
        <i/>
        <sz val="8"/>
        <color indexed="8"/>
        <rFont val="Arial"/>
        <family val="2"/>
      </rPr>
      <t xml:space="preserve"> Including net profit of affiliated entities recognised on an equity basis.</t>
    </r>
  </si>
  <si>
    <t>Other</t>
  </si>
  <si>
    <t>brak danych</t>
  </si>
  <si>
    <t xml:space="preserve"> - term deposits</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</si>
  <si>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</si>
  <si>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</si>
  <si>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</si>
  <si>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</si>
  <si>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</si>
  <si>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</si>
  <si>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</si>
  <si>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</si>
  <si>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</si>
  <si>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</si>
  <si>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</si>
  <si>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</si>
  <si>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</si>
  <si>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</si>
  <si>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</si>
  <si>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</si>
  <si>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B. Other elements of own funds (decreases and increases), of which:</t>
  </si>
  <si>
    <t xml:space="preserve">     B.I. Other elements of tier 1 capital:</t>
  </si>
  <si>
    <t xml:space="preserve">     B.II. Other elements of tier 2 capital:</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</si>
  <si>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</si>
  <si>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</si>
  <si>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</si>
  <si>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</si>
  <si>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</si>
  <si>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</si>
  <si>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</si>
  <si>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</si>
  <si>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</si>
  <si>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</si>
  <si>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</si>
  <si>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</si>
  <si>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TIER 1  ratio (SA)</t>
  </si>
  <si>
    <t>TIER 1  ratio (AIRB)</t>
  </si>
  <si>
    <t xml:space="preserve">            - other revaluation reserve</t>
  </si>
  <si>
    <t>Cost /Income ratio (C/I) as % - cumulatively</t>
  </si>
  <si>
    <t>CONSOLIDATED INCOME STATEMENT
Corporate customers segment</t>
  </si>
  <si>
    <t>Net fees &amp; commission income</t>
  </si>
  <si>
    <t>Fees and commission income</t>
  </si>
  <si>
    <t>Total fees and comission income</t>
  </si>
  <si>
    <t>1Q - N/A</t>
  </si>
  <si>
    <t xml:space="preserve">1Q </t>
  </si>
  <si>
    <t>2007 - N/A</t>
  </si>
  <si>
    <t xml:space="preserve">Notes: </t>
  </si>
  <si>
    <t>OWN FUNDS</t>
  </si>
  <si>
    <t>Financial assets designated as at fair value upon initial recognition, of which:</t>
  </si>
  <si>
    <t xml:space="preserve"> - interest on issue of debt securities</t>
  </si>
  <si>
    <t>Impairment losses</t>
  </si>
  <si>
    <t xml:space="preserve"> - Liabilities under issue of debt securities</t>
  </si>
  <si>
    <t xml:space="preserve">            - intangible assets</t>
  </si>
  <si>
    <t xml:space="preserve">     B.III. Tier 3 (short-term) capital</t>
  </si>
  <si>
    <t xml:space="preserve">       - interest on leasing agreements</t>
  </si>
  <si>
    <t xml:space="preserve">       - interest on factoring agreements</t>
  </si>
  <si>
    <t xml:space="preserve"> - interest on repo transactions</t>
  </si>
  <si>
    <t xml:space="preserve"> - interest on available-for-sale debt securities</t>
  </si>
  <si>
    <t xml:space="preserve"> - interest on debt securities held for trading</t>
  </si>
  <si>
    <t xml:space="preserve"> - interest on held-to-maturity debt securities</t>
  </si>
  <si>
    <t xml:space="preserve"> - interest on debt securities designated as fair value at initial recognition</t>
  </si>
  <si>
    <t xml:space="preserve"> - commission related to insurance product offering</t>
  </si>
  <si>
    <t xml:space="preserve"> - Receivables from customers due to repo transactions</t>
  </si>
  <si>
    <t xml:space="preserve"> - Liabilities due to customers under repo transactions</t>
  </si>
  <si>
    <t xml:space="preserve"> - repo transactions</t>
  </si>
  <si>
    <t>TIER 1 ratio</t>
  </si>
  <si>
    <t>Comparable data pro-forma</t>
  </si>
  <si>
    <t>Portfolio of loans and receivables, of which:</t>
  </si>
  <si>
    <t xml:space="preserve"> - Loans and advances</t>
  </si>
  <si>
    <t xml:space="preserve"> - Leasing  receivables</t>
  </si>
  <si>
    <t xml:space="preserve"> - Factoring  receivables</t>
  </si>
  <si>
    <t>Other receivables, of which:</t>
  </si>
  <si>
    <t xml:space="preserve"> - T-eurobonds  </t>
  </si>
  <si>
    <t xml:space="preserve"> - Other</t>
  </si>
  <si>
    <t xml:space="preserve"> - concerning portfolio of loans and receivables, of which:</t>
  </si>
  <si>
    <t xml:space="preserve">          - concerning loans and advances</t>
  </si>
  <si>
    <t xml:space="preserve">          - concerning leasing receivables</t>
  </si>
  <si>
    <t xml:space="preserve">          - concerning factoring receivables</t>
  </si>
  <si>
    <t>Business entities, of which:</t>
  </si>
  <si>
    <t xml:space="preserve">     - in the current account</t>
  </si>
  <si>
    <t xml:space="preserve">     - term ones</t>
  </si>
  <si>
    <t>Households, of which:</t>
  </si>
  <si>
    <t xml:space="preserve"> - Business entities, of which:</t>
  </si>
  <si>
    <t xml:space="preserve"> - Households, of which:</t>
  </si>
  <si>
    <t xml:space="preserve"> - Loans and advances, of which:</t>
  </si>
  <si>
    <t xml:space="preserve"> - Other receivables</t>
  </si>
  <si>
    <t xml:space="preserve">     - concerning loans and advances</t>
  </si>
  <si>
    <t xml:space="preserve">     - concerning leasing receivables</t>
  </si>
  <si>
    <t xml:space="preserve">     - concerning factoring receivables</t>
  </si>
  <si>
    <t xml:space="preserve">     - concerning other receivables</t>
  </si>
  <si>
    <t>Leasing  receivables</t>
  </si>
  <si>
    <t>Factoring  receivables</t>
  </si>
  <si>
    <t>T-eurobonds</t>
  </si>
  <si>
    <t xml:space="preserve"> - Deposits, of which:</t>
  </si>
  <si>
    <t xml:space="preserve">     - current accounts</t>
  </si>
  <si>
    <t xml:space="preserve"> - interest on repo transactions concluded with customers</t>
  </si>
  <si>
    <t xml:space="preserve"> - interest on financial liabilities held for trading</t>
  </si>
  <si>
    <t xml:space="preserve">   - Supplement to the overall level of capital requirements</t>
  </si>
  <si>
    <t xml:space="preserve"> - Actuarial gains / losses</t>
  </si>
  <si>
    <t xml:space="preserve">            - actuarial gains / losses</t>
  </si>
  <si>
    <t xml:space="preserve"> - Non-financial assets</t>
  </si>
  <si>
    <t xml:space="preserve"> - Tax assets</t>
  </si>
  <si>
    <t xml:space="preserve"> - Tax liabilities</t>
  </si>
  <si>
    <t xml:space="preserve"> - Revaluation reserve</t>
  </si>
  <si>
    <t>Total capital ratio</t>
  </si>
  <si>
    <t>Total capital ratio (AIRB)</t>
  </si>
  <si>
    <t>Total capital ratio (SA)</t>
  </si>
  <si>
    <t xml:space="preserve">            - profit during the approval</t>
  </si>
  <si>
    <t xml:space="preserve">     Own equity included in tier 2 capital, of which:</t>
  </si>
  <si>
    <t xml:space="preserve">     A.II. Own equity excluded from own funds calculation, of which:</t>
  </si>
  <si>
    <t xml:space="preserve">            - dividend declared to shareholders</t>
  </si>
  <si>
    <t xml:space="preserve">            - capital commitments in financial institutions</t>
  </si>
  <si>
    <t xml:space="preserve">            - amount of expected losses - only in AIRB method</t>
  </si>
  <si>
    <t>Own funds taken into account in total capital ratio calculation according to advanced method (AIRB)
(A.I. + A.II. + B.I. + B.II.), of which:</t>
  </si>
  <si>
    <t>Own funds taken into account in total capital ratio calculation according to standard method (SA)
(A.I. + A.II. + B.I. + B.II.), of which:</t>
  </si>
  <si>
    <t xml:space="preserve">   - Tier 3 (short-term) capital</t>
  </si>
  <si>
    <t xml:space="preserve">   - Tier 2 capital</t>
  </si>
  <si>
    <t xml:space="preserve">   - Tier 1 capital</t>
  </si>
  <si>
    <t>Total capital ratio (consolidated) as %</t>
  </si>
  <si>
    <t>Total capital ratio (standalone) as %</t>
  </si>
  <si>
    <t xml:space="preserve">     - term deposit and saving accounts</t>
  </si>
  <si>
    <t xml:space="preserve">          - Other</t>
  </si>
  <si>
    <t>Fees and commission expenses</t>
  </si>
  <si>
    <t xml:space="preserve">          - concerning T-eurobonds  </t>
  </si>
  <si>
    <t xml:space="preserve">          - concerning other receivables</t>
  </si>
  <si>
    <t xml:space="preserve">     - concerning T-eurobonds  </t>
  </si>
  <si>
    <t xml:space="preserve"> - Debt securities (corporate and municipal)</t>
  </si>
  <si>
    <t xml:space="preserve">          - concerning debt securities (corporate and municipal)</t>
  </si>
  <si>
    <t>Debt securities (notes)</t>
  </si>
  <si>
    <t xml:space="preserve"> - concerning debt securities</t>
  </si>
  <si>
    <t xml:space="preserve"> - Debt securities (corporate bonds and notes)</t>
  </si>
  <si>
    <t xml:space="preserve">     - concerning debt securities</t>
  </si>
  <si>
    <t>Debt securities (municipal bonds)</t>
  </si>
  <si>
    <t xml:space="preserve">     - concerning debt securities (municipal bonds)</t>
  </si>
  <si>
    <t>Total capital ratio - consolidated</t>
  </si>
  <si>
    <t xml:space="preserve"> - Tax on certain financial institutions</t>
  </si>
  <si>
    <t>Tax on certain financial institutions</t>
  </si>
  <si>
    <r>
      <rPr>
        <b/>
        <sz val="12"/>
        <color indexed="10"/>
        <rFont val="Arial"/>
        <family val="2"/>
      </rPr>
      <t>Comparable data pro-forma</t>
    </r>
    <r>
      <rPr>
        <b/>
        <sz val="10"/>
        <color indexed="10"/>
        <rFont val="Arial"/>
        <family val="2"/>
      </rPr>
      <t xml:space="preserve">
</t>
    </r>
    <r>
      <rPr>
        <b/>
        <sz val="10"/>
        <color indexed="12"/>
        <rFont val="Arial"/>
        <family val="2"/>
      </rPr>
      <t>NOTE! - change in the layout</t>
    </r>
    <r>
      <rPr>
        <b/>
        <sz val="12"/>
        <color indexed="12"/>
        <rFont val="Arial"/>
        <family val="2"/>
      </rPr>
      <t xml:space="preserve">
</t>
    </r>
    <r>
      <rPr>
        <i/>
        <u val="single"/>
        <sz val="8"/>
        <color indexed="12"/>
        <rFont val="Arial"/>
        <family val="2"/>
      </rPr>
      <t>Row 25 added</t>
    </r>
  </si>
  <si>
    <t xml:space="preserve"> - interest on subordinated liabilities</t>
  </si>
  <si>
    <t xml:space="preserve"> - Subordinated liabilities</t>
  </si>
  <si>
    <t xml:space="preserve">            - valuation of share-based payments</t>
  </si>
  <si>
    <t xml:space="preserve">            - subordinated liabilities</t>
  </si>
  <si>
    <r>
      <t>Comparable data pro-forma</t>
    </r>
  </si>
  <si>
    <r>
      <t>Comparable data pro-forma</t>
    </r>
  </si>
  <si>
    <t>Costs</t>
  </si>
  <si>
    <r>
      <t xml:space="preserve">Net profit </t>
    </r>
    <r>
      <rPr>
        <vertAlign val="superscript"/>
        <sz val="9"/>
        <rFont val="Arial"/>
        <family val="2"/>
      </rPr>
      <t>2</t>
    </r>
  </si>
  <si>
    <r>
      <t xml:space="preserve">Loans and receivables to customers (net) </t>
    </r>
    <r>
      <rPr>
        <vertAlign val="superscript"/>
        <sz val="9"/>
        <rFont val="Arial"/>
        <family val="2"/>
      </rPr>
      <t>3</t>
    </r>
    <r>
      <rPr>
        <sz val="9"/>
        <rFont val="Arial"/>
        <family val="2"/>
      </rPr>
      <t xml:space="preserve">, </t>
    </r>
    <r>
      <rPr>
        <sz val="8"/>
        <rFont val="Arial"/>
        <family val="2"/>
      </rPr>
      <t>of which:</t>
    </r>
  </si>
  <si>
    <r>
      <t xml:space="preserve">Equity </t>
    </r>
    <r>
      <rPr>
        <vertAlign val="superscript"/>
        <sz val="9"/>
        <rFont val="Arial"/>
        <family val="2"/>
      </rPr>
      <t>4</t>
    </r>
  </si>
  <si>
    <r>
      <t xml:space="preserve">Net interest margin (NIM) as % </t>
    </r>
    <r>
      <rPr>
        <vertAlign val="superscript"/>
        <sz val="9"/>
        <rFont val="Arial"/>
        <family val="2"/>
      </rPr>
      <t>5</t>
    </r>
  </si>
  <si>
    <r>
      <t xml:space="preserve">Number of shares </t>
    </r>
    <r>
      <rPr>
        <vertAlign val="superscript"/>
        <sz val="9"/>
        <rFont val="Arial"/>
        <family val="2"/>
      </rPr>
      <t>6</t>
    </r>
  </si>
  <si>
    <r>
      <rPr>
        <i/>
        <vertAlign val="superscript"/>
        <sz val="8"/>
        <rFont val="Arial"/>
        <family val="2"/>
      </rPr>
      <t>2</t>
    </r>
    <r>
      <rPr>
        <i/>
        <sz val="8"/>
        <rFont val="Arial"/>
        <family val="2"/>
      </rPr>
      <t xml:space="preserve"> Attributable to the shareholders of the parent entity.</t>
    </r>
  </si>
  <si>
    <r>
      <t>3</t>
    </r>
    <r>
      <rPr>
        <i/>
        <sz val="8"/>
        <color indexed="8"/>
        <rFont val="Arial"/>
        <family val="2"/>
      </rPr>
      <t xml:space="preserve"> Excluding T-eurobonds</t>
    </r>
  </si>
  <si>
    <r>
      <t>4</t>
    </r>
    <r>
      <rPr>
        <i/>
        <sz val="8"/>
        <color indexed="8"/>
        <rFont val="Arial"/>
        <family val="2"/>
      </rPr>
      <t xml:space="preserve"> Equity of the parent entity</t>
    </r>
  </si>
  <si>
    <r>
      <t>5</t>
    </r>
    <r>
      <rPr>
        <i/>
        <sz val="8"/>
        <color indexed="8"/>
        <rFont val="Arial"/>
        <family val="2"/>
      </rPr>
      <t xml:space="preserve"> Sum of NII of 4 consecutive quarters / average interest bearing assets of 5 consecutive quarters</t>
    </r>
  </si>
  <si>
    <r>
      <t>6</t>
    </r>
    <r>
      <rPr>
        <i/>
        <sz val="8"/>
        <color indexed="8"/>
        <rFont val="Arial"/>
        <family val="2"/>
      </rPr>
      <t xml:space="preserve"> After making figures comparable (1:10 split in Q4 2011)</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</si>
</sst>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
    <numFmt numFmtId="183" formatCode="&quot;Tak&quot;;&quot;Tak&quot;;&quot;Nie&quot;"/>
    <numFmt numFmtId="184" formatCode="&quot;Prawda&quot;;&quot;Prawda&quot;;&quot;Fałsz&quot;"/>
    <numFmt numFmtId="185" formatCode="&quot;Włączone&quot;;&quot;Włączone&quot;;&quot;Wyłączone&quot;"/>
    <numFmt numFmtId="186" formatCode="[$€-2]\ #,##0.00_);[Red]\([$€-2]\ #,##0.00\)"/>
  </numFmts>
  <fonts count="109">
    <font>
      <sz val="10"/>
      <name val="Arial CE"/>
      <family val="0"/>
    </font>
    <font>
      <sz val="11"/>
      <color indexed="8"/>
      <name val="Calibri"/>
      <family val="2"/>
    </font>
    <font>
      <sz val="10"/>
      <name val="Arial"/>
      <family val="2"/>
    </font>
    <font>
      <sz val="9"/>
      <name val="Arial"/>
      <family val="2"/>
    </font>
    <font>
      <i/>
      <sz val="10"/>
      <name val="Arial"/>
      <family val="2"/>
    </font>
    <font>
      <sz val="10"/>
      <name val="Courier"/>
      <family val="3"/>
    </font>
    <font>
      <b/>
      <sz val="9"/>
      <name val="Arial"/>
      <family val="2"/>
    </font>
    <font>
      <b/>
      <sz val="10"/>
      <name val="Arial"/>
      <family val="2"/>
    </font>
    <font>
      <sz val="8"/>
      <name val="Arial"/>
      <family val="2"/>
    </font>
    <font>
      <b/>
      <sz val="12"/>
      <color indexed="9"/>
      <name val="Arial"/>
      <family val="2"/>
    </font>
    <font>
      <vertAlign val="superscript"/>
      <sz val="9"/>
      <name val="Arial"/>
      <family val="2"/>
    </font>
    <font>
      <sz val="10"/>
      <color indexed="53"/>
      <name val="Arial"/>
      <family val="2"/>
    </font>
    <font>
      <i/>
      <vertAlign val="superscript"/>
      <sz val="8"/>
      <color indexed="8"/>
      <name val="Arial"/>
      <family val="2"/>
    </font>
    <font>
      <i/>
      <sz val="8"/>
      <color indexed="8"/>
      <name val="Arial"/>
      <family val="2"/>
    </font>
    <font>
      <i/>
      <sz val="9"/>
      <name val="Arial"/>
      <family val="2"/>
    </font>
    <font>
      <b/>
      <sz val="8"/>
      <color indexed="9"/>
      <name val="Arial"/>
      <family val="2"/>
    </font>
    <font>
      <b/>
      <sz val="8"/>
      <name val="Arial"/>
      <family val="2"/>
    </font>
    <font>
      <i/>
      <sz val="8"/>
      <name val="Arial"/>
      <family val="2"/>
    </font>
    <font>
      <b/>
      <i/>
      <sz val="10"/>
      <name val="Arial"/>
      <family val="2"/>
    </font>
    <font>
      <i/>
      <vertAlign val="superscript"/>
      <sz val="8"/>
      <name val="Arial"/>
      <family val="2"/>
    </font>
    <font>
      <i/>
      <sz val="8"/>
      <name val="Arial CE"/>
      <family val="0"/>
    </font>
    <font>
      <i/>
      <sz val="10"/>
      <name val="Arial CE"/>
      <family val="0"/>
    </font>
    <font>
      <b/>
      <i/>
      <sz val="9"/>
      <name val="Arial CE"/>
      <family val="0"/>
    </font>
    <font>
      <sz val="8"/>
      <name val="Tahoma"/>
      <family val="2"/>
    </font>
    <font>
      <b/>
      <sz val="10"/>
      <color indexed="10"/>
      <name val="Arial"/>
      <family val="2"/>
    </font>
    <font>
      <b/>
      <i/>
      <sz val="8"/>
      <name val="Arial"/>
      <family val="2"/>
    </font>
    <font>
      <i/>
      <sz val="7"/>
      <name val="Arial"/>
      <family val="2"/>
    </font>
    <font>
      <b/>
      <sz val="12"/>
      <color indexed="10"/>
      <name val="Arial"/>
      <family val="2"/>
    </font>
    <font>
      <b/>
      <sz val="10"/>
      <color indexed="12"/>
      <name val="Arial"/>
      <family val="2"/>
    </font>
    <font>
      <i/>
      <u val="single"/>
      <sz val="8"/>
      <color indexed="12"/>
      <name val="Arial"/>
      <family val="2"/>
    </font>
    <font>
      <b/>
      <sz val="12"/>
      <color indexed="12"/>
      <name val="Arial"/>
      <family val="2"/>
    </font>
    <font>
      <sz val="7"/>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53"/>
      <name val="Arial"/>
      <family val="2"/>
    </font>
    <font>
      <b/>
      <sz val="8"/>
      <color indexed="23"/>
      <name val="Arial"/>
      <family val="2"/>
    </font>
    <font>
      <sz val="8"/>
      <color indexed="23"/>
      <name val="Arial"/>
      <family val="2"/>
    </font>
    <font>
      <b/>
      <sz val="9"/>
      <color indexed="9"/>
      <name val="Arial"/>
      <family val="2"/>
    </font>
    <font>
      <b/>
      <sz val="9"/>
      <color indexed="8"/>
      <name val="Arial"/>
      <family val="2"/>
    </font>
    <font>
      <b/>
      <sz val="8"/>
      <color indexed="8"/>
      <name val="Arial"/>
      <family val="2"/>
    </font>
    <font>
      <i/>
      <sz val="8"/>
      <color indexed="23"/>
      <name val="Arial"/>
      <family val="2"/>
    </font>
    <font>
      <sz val="10"/>
      <color indexed="23"/>
      <name val="Arial CE"/>
      <family val="0"/>
    </font>
    <font>
      <b/>
      <i/>
      <sz val="9"/>
      <color indexed="8"/>
      <name val="Arial"/>
      <family val="2"/>
    </font>
    <font>
      <b/>
      <i/>
      <sz val="8"/>
      <color indexed="8"/>
      <name val="Arial"/>
      <family val="2"/>
    </font>
    <font>
      <sz val="8"/>
      <color indexed="8"/>
      <name val="Arial"/>
      <family val="2"/>
    </font>
    <font>
      <b/>
      <sz val="10"/>
      <color indexed="8"/>
      <name val="Arial"/>
      <family val="2"/>
    </font>
    <font>
      <b/>
      <i/>
      <sz val="9"/>
      <color indexed="9"/>
      <name val="Arial"/>
      <family val="2"/>
    </font>
    <font>
      <b/>
      <i/>
      <sz val="11"/>
      <color indexed="53"/>
      <name val="Arial"/>
      <family val="2"/>
    </font>
    <font>
      <sz val="11"/>
      <color indexed="53"/>
      <name val="Arial CE"/>
      <family val="0"/>
    </font>
    <font>
      <sz val="11"/>
      <color indexed="53"/>
      <name val="Arial"/>
      <family val="2"/>
    </font>
    <font>
      <i/>
      <sz val="8"/>
      <color indexed="9"/>
      <name val="Arial"/>
      <family val="2"/>
    </font>
    <font>
      <sz val="10"/>
      <color indexed="51"/>
      <name val="Arial"/>
      <family val="2"/>
    </font>
    <font>
      <b/>
      <i/>
      <sz val="10"/>
      <color indexed="2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6600"/>
      <name val="Arial"/>
      <family val="2"/>
    </font>
    <font>
      <b/>
      <sz val="8"/>
      <color theme="0"/>
      <name val="Arial"/>
      <family val="2"/>
    </font>
    <font>
      <b/>
      <sz val="8"/>
      <color theme="0" tint="-0.4999699890613556"/>
      <name val="Arial"/>
      <family val="2"/>
    </font>
    <font>
      <sz val="8"/>
      <color theme="0" tint="-0.4999699890613556"/>
      <name val="Arial"/>
      <family val="2"/>
    </font>
    <font>
      <b/>
      <sz val="9"/>
      <color theme="0"/>
      <name val="Arial"/>
      <family val="2"/>
    </font>
    <font>
      <b/>
      <sz val="9"/>
      <color theme="1"/>
      <name val="Arial"/>
      <family val="2"/>
    </font>
    <font>
      <b/>
      <sz val="8"/>
      <color theme="1"/>
      <name val="Arial"/>
      <family val="2"/>
    </font>
    <font>
      <i/>
      <sz val="8"/>
      <color theme="0" tint="-0.4999699890613556"/>
      <name val="Arial"/>
      <family val="2"/>
    </font>
    <font>
      <sz val="10"/>
      <color theme="0" tint="-0.4999699890613556"/>
      <name val="Arial CE"/>
      <family val="0"/>
    </font>
    <font>
      <b/>
      <i/>
      <sz val="9"/>
      <color theme="1"/>
      <name val="Arial"/>
      <family val="2"/>
    </font>
    <font>
      <b/>
      <i/>
      <sz val="8"/>
      <color theme="1"/>
      <name val="Arial"/>
      <family val="2"/>
    </font>
    <font>
      <sz val="8"/>
      <color theme="1"/>
      <name val="Arial"/>
      <family val="2"/>
    </font>
    <font>
      <b/>
      <sz val="10"/>
      <color theme="1"/>
      <name val="Arial"/>
      <family val="2"/>
    </font>
    <font>
      <b/>
      <i/>
      <sz val="9"/>
      <color theme="0"/>
      <name val="Arial"/>
      <family val="2"/>
    </font>
    <font>
      <b/>
      <i/>
      <sz val="11"/>
      <color rgb="FFFF6600"/>
      <name val="Arial"/>
      <family val="2"/>
    </font>
    <font>
      <sz val="11"/>
      <color rgb="FFFF6600"/>
      <name val="Arial CE"/>
      <family val="0"/>
    </font>
    <font>
      <sz val="11"/>
      <color rgb="FFFF6600"/>
      <name val="Arial"/>
      <family val="2"/>
    </font>
    <font>
      <i/>
      <sz val="8"/>
      <color theme="0"/>
      <name val="Arial"/>
      <family val="2"/>
    </font>
    <font>
      <sz val="10"/>
      <color rgb="FFFFC000"/>
      <name val="Arial"/>
      <family val="2"/>
    </font>
    <font>
      <b/>
      <i/>
      <sz val="10"/>
      <color theme="0" tint="-0.4999699890613556"/>
      <name val="Arial"/>
      <family val="2"/>
    </font>
    <font>
      <b/>
      <sz val="8"/>
      <name val="Arial C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3"/>
        <bgColor indexed="64"/>
      </patternFill>
    </fill>
    <fill>
      <patternFill patternType="solid">
        <fgColor theme="0"/>
        <bgColor indexed="64"/>
      </patternFill>
    </fill>
    <fill>
      <patternFill patternType="solid">
        <fgColor rgb="FFFF6600"/>
        <bgColor indexed="64"/>
      </patternFill>
    </fill>
    <fill>
      <patternFill patternType="solid">
        <fgColor rgb="FFFFFF9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style="hair"/>
    </border>
    <border>
      <left style="hair"/>
      <right/>
      <top style="hair"/>
      <bottom style="hair"/>
    </border>
    <border>
      <left/>
      <right style="hair"/>
      <top style="hair"/>
      <bottom style="hair"/>
    </border>
    <border>
      <left/>
      <right/>
      <top style="hair"/>
      <bottom/>
    </border>
    <border>
      <left style="hair"/>
      <right/>
      <top/>
      <bottom/>
    </border>
    <border>
      <left/>
      <right style="hair"/>
      <top/>
      <bottom/>
    </border>
    <border>
      <left style="hair"/>
      <right/>
      <top style="hair"/>
      <bottom/>
    </border>
    <border>
      <left/>
      <right style="hair"/>
      <top style="hair"/>
      <bottom/>
    </border>
    <border>
      <left/>
      <right/>
      <top/>
      <bottom style="hair"/>
    </border>
    <border>
      <left style="hair"/>
      <right/>
      <top/>
      <bottom style="hair"/>
    </border>
    <border>
      <left/>
      <right style="hair"/>
      <top/>
      <bottom style="hair"/>
    </border>
    <border>
      <left/>
      <right/>
      <top style="medium">
        <color rgb="FFFF6600"/>
      </top>
      <bottom style="medium">
        <color rgb="FFFF6600"/>
      </bottom>
    </border>
    <border>
      <left style="hair"/>
      <right/>
      <top style="medium">
        <color rgb="FFFF6600"/>
      </top>
      <bottom style="medium">
        <color rgb="FFFF6600"/>
      </bottom>
    </border>
    <border>
      <left/>
      <right style="hair"/>
      <top style="medium">
        <color rgb="FFFF6600"/>
      </top>
      <bottom style="medium">
        <color rgb="FFFF660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81" fillId="27" borderId="1" applyNumberFormat="0" applyAlignment="0" applyProtection="0"/>
    <xf numFmtId="0" fontId="8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0" fillId="31" borderId="9"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87" fillId="32" borderId="0" applyNumberFormat="0" applyBorder="0" applyAlignment="0" applyProtection="0"/>
  </cellStyleXfs>
  <cellXfs count="352">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wrapText="1"/>
    </xf>
    <xf numFmtId="0" fontId="7" fillId="0" borderId="0" xfId="0" applyFont="1" applyFill="1" applyBorder="1" applyAlignment="1">
      <alignment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3" fontId="2"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2"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0" xfId="0" applyNumberFormat="1" applyFont="1" applyFill="1" applyBorder="1" applyAlignment="1">
      <alignment vertical="center"/>
    </xf>
    <xf numFmtId="0" fontId="8" fillId="0" borderId="0" xfId="0" applyFont="1" applyBorder="1" applyAlignment="1">
      <alignment vertical="center"/>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2" xfId="0" applyNumberFormat="1" applyFont="1" applyFill="1" applyBorder="1" applyAlignment="1">
      <alignment vertical="center"/>
    </xf>
    <xf numFmtId="0" fontId="8" fillId="0" borderId="0" xfId="0" applyFont="1" applyFill="1" applyBorder="1" applyAlignment="1">
      <alignment vertical="center"/>
    </xf>
    <xf numFmtId="0" fontId="3" fillId="0" borderId="13" xfId="0" applyFont="1" applyFill="1" applyBorder="1" applyAlignment="1">
      <alignment horizontal="left" vertical="center" wrapText="1"/>
    </xf>
    <xf numFmtId="3" fontId="88" fillId="0" borderId="11" xfId="0" applyNumberFormat="1" applyFont="1" applyFill="1" applyBorder="1" applyAlignment="1">
      <alignment vertical="center"/>
    </xf>
    <xf numFmtId="3" fontId="88" fillId="0" borderId="10" xfId="0" applyNumberFormat="1" applyFont="1" applyFill="1" applyBorder="1" applyAlignment="1">
      <alignment vertical="center"/>
    </xf>
    <xf numFmtId="3" fontId="88" fillId="0" borderId="12" xfId="0" applyNumberFormat="1" applyFont="1" applyFill="1" applyBorder="1" applyAlignment="1">
      <alignment vertical="center"/>
    </xf>
    <xf numFmtId="3" fontId="15" fillId="33" borderId="14" xfId="0" applyNumberFormat="1" applyFont="1" applyFill="1" applyBorder="1" applyAlignment="1">
      <alignment horizontal="right" vertical="center" wrapText="1"/>
    </xf>
    <xf numFmtId="3" fontId="15" fillId="33" borderId="0" xfId="0" applyNumberFormat="1" applyFont="1" applyFill="1" applyBorder="1" applyAlignment="1">
      <alignment horizontal="right" vertical="center" wrapText="1"/>
    </xf>
    <xf numFmtId="3" fontId="15" fillId="33" borderId="15" xfId="0"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80" fontId="8" fillId="0" borderId="11" xfId="0" applyNumberFormat="1" applyFont="1" applyFill="1" applyBorder="1" applyAlignment="1">
      <alignment vertical="center"/>
    </xf>
    <xf numFmtId="180" fontId="8" fillId="0" borderId="10" xfId="0" applyNumberFormat="1" applyFont="1" applyFill="1" applyBorder="1" applyAlignment="1">
      <alignment vertical="center"/>
    </xf>
    <xf numFmtId="180" fontId="8" fillId="0" borderId="12" xfId="0" applyNumberFormat="1" applyFont="1" applyFill="1" applyBorder="1" applyAlignment="1">
      <alignment vertical="center"/>
    </xf>
    <xf numFmtId="0" fontId="8" fillId="0" borderId="13" xfId="0" applyFont="1" applyFill="1" applyBorder="1" applyAlignment="1">
      <alignment horizontal="left" vertical="center" wrapText="1"/>
    </xf>
    <xf numFmtId="180" fontId="8" fillId="0" borderId="16" xfId="0" applyNumberFormat="1" applyFont="1" applyFill="1" applyBorder="1" applyAlignment="1">
      <alignment vertical="center"/>
    </xf>
    <xf numFmtId="180" fontId="8" fillId="0" borderId="13" xfId="0" applyNumberFormat="1" applyFont="1" applyFill="1" applyBorder="1" applyAlignment="1">
      <alignment vertical="center"/>
    </xf>
    <xf numFmtId="180" fontId="8" fillId="0" borderId="17" xfId="0" applyNumberFormat="1" applyFont="1" applyFill="1" applyBorder="1" applyAlignment="1">
      <alignment vertical="center"/>
    </xf>
    <xf numFmtId="180" fontId="16" fillId="0" borderId="11" xfId="0" applyNumberFormat="1" applyFont="1" applyFill="1" applyBorder="1" applyAlignment="1">
      <alignment vertical="center"/>
    </xf>
    <xf numFmtId="180" fontId="16" fillId="0" borderId="10" xfId="0" applyNumberFormat="1" applyFont="1" applyFill="1" applyBorder="1" applyAlignment="1">
      <alignment vertical="center"/>
    </xf>
    <xf numFmtId="180" fontId="16" fillId="0" borderId="12" xfId="0" applyNumberFormat="1" applyFont="1" applyFill="1" applyBorder="1" applyAlignment="1">
      <alignment vertical="center"/>
    </xf>
    <xf numFmtId="3" fontId="16" fillId="0" borderId="1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12" xfId="0" applyNumberFormat="1" applyFont="1" applyFill="1" applyBorder="1" applyAlignment="1">
      <alignment vertical="center"/>
    </xf>
    <xf numFmtId="0" fontId="8" fillId="0" borderId="18" xfId="0" applyFont="1" applyFill="1" applyBorder="1" applyAlignment="1">
      <alignment horizontal="left" vertical="center" wrapText="1"/>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20" xfId="0" applyNumberFormat="1" applyFont="1" applyFill="1" applyBorder="1" applyAlignment="1">
      <alignment vertical="center"/>
    </xf>
    <xf numFmtId="0" fontId="17" fillId="0" borderId="10" xfId="0" applyFont="1" applyFill="1" applyBorder="1" applyAlignment="1">
      <alignment horizontal="left" vertical="center" wrapText="1"/>
    </xf>
    <xf numFmtId="180" fontId="17" fillId="0" borderId="11"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2" xfId="0" applyNumberFormat="1" applyFont="1" applyFill="1" applyBorder="1" applyAlignment="1">
      <alignment vertical="center"/>
    </xf>
    <xf numFmtId="10" fontId="8" fillId="0" borderId="11" xfId="63" applyNumberFormat="1" applyFont="1" applyFill="1" applyBorder="1" applyAlignment="1">
      <alignment vertical="center"/>
    </xf>
    <xf numFmtId="10" fontId="8" fillId="0" borderId="10" xfId="63" applyNumberFormat="1" applyFont="1" applyFill="1" applyBorder="1" applyAlignment="1">
      <alignment vertical="center"/>
    </xf>
    <xf numFmtId="10" fontId="8" fillId="0" borderId="12" xfId="63" applyNumberFormat="1" applyFont="1" applyFill="1" applyBorder="1" applyAlignment="1">
      <alignment vertical="center"/>
    </xf>
    <xf numFmtId="10" fontId="8" fillId="0" borderId="11" xfId="63" applyNumberFormat="1" applyFont="1" applyFill="1" applyBorder="1" applyAlignment="1">
      <alignment horizontal="right" vertical="center"/>
    </xf>
    <xf numFmtId="10" fontId="8" fillId="0" borderId="10" xfId="63" applyNumberFormat="1" applyFont="1" applyFill="1" applyBorder="1" applyAlignment="1">
      <alignment horizontal="right" vertical="center"/>
    </xf>
    <xf numFmtId="10" fontId="8" fillId="0" borderId="12" xfId="63" applyNumberFormat="1" applyFont="1" applyFill="1" applyBorder="1" applyAlignment="1">
      <alignment horizontal="right" vertical="center"/>
    </xf>
    <xf numFmtId="0" fontId="18" fillId="0" borderId="0" xfId="0" applyFont="1" applyFill="1" applyBorder="1" applyAlignment="1">
      <alignment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2" xfId="0" applyNumberFormat="1" applyFont="1" applyFill="1" applyBorder="1" applyAlignment="1">
      <alignment vertical="center"/>
    </xf>
    <xf numFmtId="0" fontId="8" fillId="34" borderId="10" xfId="0" applyFont="1" applyFill="1" applyBorder="1" applyAlignment="1">
      <alignment horizontal="left" vertical="center" wrapText="1"/>
    </xf>
    <xf numFmtId="181" fontId="8" fillId="0" borderId="11" xfId="63" applyNumberFormat="1" applyFont="1" applyFill="1" applyBorder="1" applyAlignment="1">
      <alignment vertical="center"/>
    </xf>
    <xf numFmtId="181" fontId="8" fillId="0" borderId="10" xfId="63" applyNumberFormat="1" applyFont="1" applyFill="1" applyBorder="1" applyAlignment="1">
      <alignment vertical="center"/>
    </xf>
    <xf numFmtId="181" fontId="8" fillId="0" borderId="12" xfId="63" applyNumberFormat="1" applyFont="1" applyFill="1" applyBorder="1" applyAlignment="1">
      <alignment vertic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34" borderId="11" xfId="0" applyNumberFormat="1" applyFont="1" applyFill="1" applyBorder="1" applyAlignment="1">
      <alignment vertical="center"/>
    </xf>
    <xf numFmtId="4" fontId="8" fillId="34" borderId="10"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11"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0" fontId="12" fillId="0" borderId="0" xfId="59" applyFont="1" applyBorder="1" applyAlignment="1">
      <alignment vertical="center"/>
      <protection/>
    </xf>
    <xf numFmtId="3"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4" fillId="0" borderId="0" xfId="0" applyNumberFormat="1" applyFont="1" applyFill="1" applyBorder="1" applyAlignment="1">
      <alignment vertical="center"/>
    </xf>
    <xf numFmtId="0" fontId="8" fillId="0" borderId="10" xfId="0" applyFont="1" applyFill="1" applyBorder="1" applyAlignment="1">
      <alignment vertical="center" wrapText="1"/>
    </xf>
    <xf numFmtId="0" fontId="16" fillId="0" borderId="10" xfId="0"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16" fillId="0" borderId="13" xfId="0" applyFont="1" applyFill="1" applyBorder="1" applyAlignment="1">
      <alignment vertical="center" wrapText="1"/>
    </xf>
    <xf numFmtId="0" fontId="89" fillId="35" borderId="13" xfId="0" applyFont="1" applyFill="1" applyBorder="1" applyAlignment="1">
      <alignment vertical="center" wrapText="1"/>
    </xf>
    <xf numFmtId="180" fontId="89" fillId="35" borderId="11" xfId="0" applyNumberFormat="1" applyFont="1" applyFill="1" applyBorder="1" applyAlignment="1">
      <alignment vertical="center"/>
    </xf>
    <xf numFmtId="180" fontId="89" fillId="35" borderId="10" xfId="0" applyNumberFormat="1" applyFont="1" applyFill="1" applyBorder="1" applyAlignment="1">
      <alignment vertical="center"/>
    </xf>
    <xf numFmtId="180" fontId="89" fillId="35" borderId="12" xfId="0" applyNumberFormat="1" applyFont="1" applyFill="1" applyBorder="1" applyAlignment="1">
      <alignment vertical="center"/>
    </xf>
    <xf numFmtId="180" fontId="2" fillId="0" borderId="0" xfId="0" applyNumberFormat="1" applyFont="1" applyBorder="1" applyAlignment="1">
      <alignment vertical="center"/>
    </xf>
    <xf numFmtId="3" fontId="16" fillId="0" borderId="10" xfId="0" applyNumberFormat="1" applyFont="1" applyFill="1" applyBorder="1" applyAlignment="1">
      <alignment vertical="center" wrapText="1"/>
    </xf>
    <xf numFmtId="0" fontId="89" fillId="35" borderId="10" xfId="0" applyFont="1" applyFill="1" applyBorder="1" applyAlignment="1">
      <alignment vertical="center" wrapText="1"/>
    </xf>
    <xf numFmtId="0" fontId="7" fillId="0" borderId="0" xfId="0" applyFont="1" applyAlignment="1">
      <alignment horizontal="right" vertical="center" wrapText="1"/>
    </xf>
    <xf numFmtId="0" fontId="16"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0" xfId="0" applyFont="1" applyBorder="1" applyAlignment="1">
      <alignment vertical="center"/>
    </xf>
    <xf numFmtId="0" fontId="89" fillId="35" borderId="10" xfId="0" applyFont="1" applyFill="1" applyBorder="1" applyAlignment="1">
      <alignment vertical="center"/>
    </xf>
    <xf numFmtId="3"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16" fillId="0" borderId="10" xfId="0" applyFont="1" applyBorder="1" applyAlignment="1">
      <alignment vertical="center"/>
    </xf>
    <xf numFmtId="0" fontId="7" fillId="0" borderId="0" xfId="0" applyFont="1" applyBorder="1" applyAlignment="1">
      <alignment vertical="center" wrapText="1"/>
    </xf>
    <xf numFmtId="0" fontId="16" fillId="0" borderId="0" xfId="0" applyFont="1" applyAlignment="1">
      <alignment vertical="center" wrapText="1"/>
    </xf>
    <xf numFmtId="3" fontId="17" fillId="0" borderId="10" xfId="0" applyNumberFormat="1" applyFont="1" applyFill="1" applyBorder="1" applyAlignment="1">
      <alignment vertical="center"/>
    </xf>
    <xf numFmtId="3" fontId="17" fillId="0" borderId="12" xfId="0" applyNumberFormat="1" applyFont="1" applyFill="1" applyBorder="1" applyAlignment="1">
      <alignment vertical="center"/>
    </xf>
    <xf numFmtId="0" fontId="16" fillId="0" borderId="10" xfId="0" applyFont="1" applyBorder="1" applyAlignment="1">
      <alignment vertical="center" wrapText="1"/>
    </xf>
    <xf numFmtId="0" fontId="8" fillId="0" borderId="10" xfId="0" applyFont="1" applyBorder="1" applyAlignment="1">
      <alignment vertical="center" wrapText="1"/>
    </xf>
    <xf numFmtId="180" fontId="3" fillId="0" borderId="0" xfId="0" applyNumberFormat="1" applyFont="1" applyBorder="1" applyAlignment="1">
      <alignment vertical="center"/>
    </xf>
    <xf numFmtId="0" fontId="8" fillId="0" borderId="0" xfId="0" applyFont="1" applyAlignment="1">
      <alignment vertical="center" wrapText="1"/>
    </xf>
    <xf numFmtId="0" fontId="4" fillId="0" borderId="0" xfId="0" applyFont="1" applyBorder="1" applyAlignment="1">
      <alignment vertical="center"/>
    </xf>
    <xf numFmtId="0" fontId="17" fillId="0" borderId="10" xfId="0" applyFont="1" applyFill="1" applyBorder="1" applyAlignment="1">
      <alignment horizontal="left" vertical="center"/>
    </xf>
    <xf numFmtId="0" fontId="17" fillId="36" borderId="0" xfId="0" applyFont="1" applyFill="1" applyBorder="1" applyAlignment="1">
      <alignment horizontal="right" vertical="center" wrapText="1"/>
    </xf>
    <xf numFmtId="180" fontId="8" fillId="0" borderId="11"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90" fillId="0" borderId="11" xfId="0" applyNumberFormat="1" applyFont="1" applyFill="1" applyBorder="1" applyAlignment="1">
      <alignment vertical="center"/>
    </xf>
    <xf numFmtId="180" fontId="90" fillId="0" borderId="10" xfId="0" applyNumberFormat="1" applyFont="1" applyFill="1" applyBorder="1" applyAlignment="1">
      <alignment vertical="center"/>
    </xf>
    <xf numFmtId="180" fontId="91" fillId="0" borderId="11" xfId="0" applyNumberFormat="1" applyFont="1" applyFill="1" applyBorder="1" applyAlignment="1">
      <alignment vertical="center"/>
    </xf>
    <xf numFmtId="180" fontId="91" fillId="0" borderId="10" xfId="0" applyNumberFormat="1" applyFont="1" applyFill="1" applyBorder="1" applyAlignment="1">
      <alignment vertical="center"/>
    </xf>
    <xf numFmtId="182" fontId="91" fillId="0" borderId="11" xfId="63" applyNumberFormat="1" applyFont="1" applyFill="1" applyBorder="1" applyAlignment="1">
      <alignment vertical="center"/>
    </xf>
    <xf numFmtId="182" fontId="91" fillId="0" borderId="10" xfId="63" applyNumberFormat="1" applyFont="1" applyFill="1" applyBorder="1" applyAlignment="1">
      <alignment vertical="center"/>
    </xf>
    <xf numFmtId="182" fontId="8" fillId="0" borderId="10" xfId="63" applyNumberFormat="1" applyFont="1" applyFill="1" applyBorder="1" applyAlignment="1">
      <alignment vertical="center"/>
    </xf>
    <xf numFmtId="182" fontId="8" fillId="0" borderId="12" xfId="63" applyNumberFormat="1" applyFont="1" applyFill="1" applyBorder="1" applyAlignment="1">
      <alignment vertical="center"/>
    </xf>
    <xf numFmtId="182" fontId="8" fillId="0" borderId="11" xfId="63" applyNumberFormat="1" applyFont="1" applyFill="1" applyBorder="1" applyAlignment="1">
      <alignment vertical="center"/>
    </xf>
    <xf numFmtId="3" fontId="91" fillId="0" borderId="11" xfId="0" applyNumberFormat="1" applyFont="1" applyFill="1" applyBorder="1" applyAlignment="1">
      <alignment vertical="center"/>
    </xf>
    <xf numFmtId="3" fontId="91" fillId="0" borderId="10" xfId="0" applyNumberFormat="1" applyFont="1" applyFill="1" applyBorder="1" applyAlignment="1">
      <alignment vertical="center"/>
    </xf>
    <xf numFmtId="180" fontId="90" fillId="35" borderId="11" xfId="0" applyNumberFormat="1" applyFont="1" applyFill="1" applyBorder="1" applyAlignment="1">
      <alignment vertical="center"/>
    </xf>
    <xf numFmtId="180" fontId="90" fillId="35" borderId="10" xfId="0" applyNumberFormat="1" applyFont="1" applyFill="1" applyBorder="1" applyAlignment="1">
      <alignment vertical="center"/>
    </xf>
    <xf numFmtId="0" fontId="16" fillId="0" borderId="0" xfId="0" applyFont="1" applyBorder="1" applyAlignment="1">
      <alignment vertical="center"/>
    </xf>
    <xf numFmtId="182" fontId="90" fillId="0" borderId="11" xfId="63" applyNumberFormat="1" applyFont="1" applyFill="1" applyBorder="1" applyAlignment="1">
      <alignment vertical="center"/>
    </xf>
    <xf numFmtId="182" fontId="90" fillId="0" borderId="10" xfId="63" applyNumberFormat="1" applyFont="1" applyFill="1" applyBorder="1" applyAlignment="1">
      <alignment vertical="center"/>
    </xf>
    <xf numFmtId="182" fontId="16" fillId="0" borderId="10" xfId="63" applyNumberFormat="1" applyFont="1" applyFill="1" applyBorder="1" applyAlignment="1">
      <alignment vertical="center"/>
    </xf>
    <xf numFmtId="182" fontId="16" fillId="0" borderId="12" xfId="63" applyNumberFormat="1" applyFont="1" applyFill="1" applyBorder="1" applyAlignment="1">
      <alignment vertical="center"/>
    </xf>
    <xf numFmtId="182" fontId="16" fillId="0" borderId="11" xfId="63" applyNumberFormat="1" applyFont="1" applyFill="1" applyBorder="1" applyAlignment="1">
      <alignment vertical="center"/>
    </xf>
    <xf numFmtId="0" fontId="17" fillId="0" borderId="10" xfId="0" applyFont="1" applyFill="1" applyBorder="1" applyAlignment="1">
      <alignment vertical="center"/>
    </xf>
    <xf numFmtId="0" fontId="17" fillId="0" borderId="0" xfId="0" applyFont="1" applyAlignment="1">
      <alignment vertical="center" wrapText="1"/>
    </xf>
    <xf numFmtId="3" fontId="3" fillId="34" borderId="11" xfId="0" applyNumberFormat="1" applyFont="1" applyFill="1" applyBorder="1" applyAlignment="1">
      <alignment vertical="center"/>
    </xf>
    <xf numFmtId="3" fontId="3" fillId="34" borderId="10" xfId="0" applyNumberFormat="1" applyFont="1" applyFill="1" applyBorder="1" applyAlignment="1">
      <alignment vertical="center"/>
    </xf>
    <xf numFmtId="0" fontId="20" fillId="0" borderId="0" xfId="0" applyFont="1" applyAlignment="1">
      <alignment vertical="center"/>
    </xf>
    <xf numFmtId="0" fontId="21" fillId="0" borderId="0" xfId="0" applyFont="1" applyAlignment="1">
      <alignment/>
    </xf>
    <xf numFmtId="0" fontId="92" fillId="35" borderId="10" xfId="0" applyFont="1" applyFill="1" applyBorder="1" applyAlignment="1">
      <alignment vertical="center" wrapText="1"/>
    </xf>
    <xf numFmtId="0" fontId="0" fillId="0" borderId="10" xfId="0" applyBorder="1" applyAlignment="1">
      <alignment/>
    </xf>
    <xf numFmtId="0" fontId="93" fillId="0" borderId="10" xfId="0" applyFont="1" applyFill="1" applyBorder="1" applyAlignment="1">
      <alignment vertical="center"/>
    </xf>
    <xf numFmtId="180" fontId="94" fillId="0" borderId="11" xfId="0" applyNumberFormat="1" applyFont="1" applyFill="1" applyBorder="1" applyAlignment="1">
      <alignment vertical="center"/>
    </xf>
    <xf numFmtId="180" fontId="94" fillId="0" borderId="10" xfId="0" applyNumberFormat="1" applyFont="1" applyFill="1" applyBorder="1" applyAlignment="1">
      <alignment vertical="center"/>
    </xf>
    <xf numFmtId="180" fontId="94" fillId="0" borderId="12" xfId="0" applyNumberFormat="1" applyFont="1" applyFill="1" applyBorder="1" applyAlignment="1">
      <alignment vertical="center"/>
    </xf>
    <xf numFmtId="0" fontId="95" fillId="0" borderId="10" xfId="0" applyFont="1" applyFill="1" applyBorder="1" applyAlignment="1">
      <alignment vertical="center"/>
    </xf>
    <xf numFmtId="180" fontId="95" fillId="0" borderId="11" xfId="0" applyNumberFormat="1" applyFont="1" applyFill="1" applyBorder="1" applyAlignment="1">
      <alignment vertical="center"/>
    </xf>
    <xf numFmtId="180" fontId="95" fillId="0" borderId="10" xfId="0" applyNumberFormat="1" applyFont="1" applyFill="1" applyBorder="1" applyAlignment="1">
      <alignment vertical="center"/>
    </xf>
    <xf numFmtId="180" fontId="95" fillId="0" borderId="12" xfId="0" applyNumberFormat="1" applyFont="1" applyFill="1" applyBorder="1" applyAlignment="1">
      <alignment vertical="center"/>
    </xf>
    <xf numFmtId="0" fontId="96" fillId="0" borderId="0" xfId="0" applyFont="1" applyAlignment="1">
      <alignment/>
    </xf>
    <xf numFmtId="0" fontId="96" fillId="0" borderId="0" xfId="0" applyFont="1" applyFill="1" applyAlignment="1">
      <alignment/>
    </xf>
    <xf numFmtId="0" fontId="95" fillId="0" borderId="10" xfId="0" applyFont="1" applyFill="1" applyBorder="1" applyAlignment="1">
      <alignment vertical="center" wrapText="1"/>
    </xf>
    <xf numFmtId="180" fontId="95" fillId="0" borderId="11" xfId="0" applyNumberFormat="1" applyFont="1" applyFill="1" applyBorder="1" applyAlignment="1">
      <alignment horizontal="right" vertical="center"/>
    </xf>
    <xf numFmtId="180" fontId="95" fillId="0" borderId="10" xfId="0" applyNumberFormat="1" applyFont="1" applyFill="1" applyBorder="1" applyAlignment="1">
      <alignment horizontal="right" vertical="center"/>
    </xf>
    <xf numFmtId="180" fontId="95" fillId="0" borderId="12" xfId="0" applyNumberFormat="1" applyFont="1" applyFill="1" applyBorder="1" applyAlignment="1">
      <alignment horizontal="right" vertical="center"/>
    </xf>
    <xf numFmtId="0" fontId="97" fillId="0" borderId="10" xfId="0" applyFont="1" applyFill="1" applyBorder="1" applyAlignment="1">
      <alignment vertical="center"/>
    </xf>
    <xf numFmtId="180" fontId="98" fillId="0" borderId="11" xfId="0" applyNumberFormat="1" applyFont="1" applyFill="1" applyBorder="1" applyAlignment="1">
      <alignment vertical="center"/>
    </xf>
    <xf numFmtId="180" fontId="98" fillId="0" borderId="10" xfId="0" applyNumberFormat="1" applyFont="1" applyFill="1" applyBorder="1" applyAlignment="1">
      <alignment vertical="center"/>
    </xf>
    <xf numFmtId="180" fontId="98" fillId="0" borderId="12" xfId="0" applyNumberFormat="1" applyFont="1" applyFill="1" applyBorder="1" applyAlignment="1">
      <alignment vertical="center"/>
    </xf>
    <xf numFmtId="0" fontId="93" fillId="0" borderId="10" xfId="0" applyFont="1" applyFill="1" applyBorder="1" applyAlignment="1">
      <alignment/>
    </xf>
    <xf numFmtId="0" fontId="93" fillId="0" borderId="10" xfId="0" applyFont="1" applyFill="1" applyBorder="1" applyAlignment="1">
      <alignment/>
    </xf>
    <xf numFmtId="0" fontId="99" fillId="0" borderId="10" xfId="0" applyFont="1" applyFill="1" applyBorder="1" applyAlignment="1">
      <alignment vertical="center"/>
    </xf>
    <xf numFmtId="180" fontId="99" fillId="0" borderId="11" xfId="0" applyNumberFormat="1" applyFont="1" applyFill="1" applyBorder="1" applyAlignment="1">
      <alignment horizontal="right" vertical="center"/>
    </xf>
    <xf numFmtId="180" fontId="99" fillId="0" borderId="10" xfId="0" applyNumberFormat="1" applyFont="1" applyFill="1" applyBorder="1" applyAlignment="1">
      <alignment horizontal="right" vertical="center"/>
    </xf>
    <xf numFmtId="180" fontId="99" fillId="0" borderId="12" xfId="0" applyNumberFormat="1" applyFont="1" applyFill="1" applyBorder="1" applyAlignment="1">
      <alignment horizontal="right" vertical="center"/>
    </xf>
    <xf numFmtId="180" fontId="99" fillId="0" borderId="11" xfId="0" applyNumberFormat="1" applyFont="1" applyFill="1" applyBorder="1" applyAlignment="1">
      <alignment vertical="center"/>
    </xf>
    <xf numFmtId="180" fontId="99" fillId="0" borderId="10" xfId="0" applyNumberFormat="1" applyFont="1" applyFill="1" applyBorder="1" applyAlignment="1">
      <alignment vertical="center"/>
    </xf>
    <xf numFmtId="180" fontId="99" fillId="0" borderId="12" xfId="0" applyNumberFormat="1" applyFont="1" applyFill="1" applyBorder="1" applyAlignment="1">
      <alignment vertical="center"/>
    </xf>
    <xf numFmtId="180" fontId="99" fillId="0" borderId="11" xfId="0" applyNumberFormat="1" applyFont="1" applyBorder="1" applyAlignment="1">
      <alignment vertical="center"/>
    </xf>
    <xf numFmtId="180" fontId="99" fillId="0" borderId="10" xfId="0" applyNumberFormat="1" applyFont="1" applyBorder="1" applyAlignment="1">
      <alignment vertical="center"/>
    </xf>
    <xf numFmtId="180" fontId="99" fillId="0" borderId="12" xfId="0" applyNumberFormat="1" applyFont="1" applyBorder="1" applyAlignment="1">
      <alignment vertical="center"/>
    </xf>
    <xf numFmtId="0" fontId="99" fillId="0" borderId="10" xfId="0" applyFont="1" applyBorder="1" applyAlignment="1">
      <alignment vertical="top" wrapText="1"/>
    </xf>
    <xf numFmtId="180" fontId="99" fillId="0" borderId="11" xfId="0" applyNumberFormat="1" applyFont="1" applyBorder="1" applyAlignment="1">
      <alignment horizontal="right" vertical="center"/>
    </xf>
    <xf numFmtId="180" fontId="99" fillId="0" borderId="10" xfId="0" applyNumberFormat="1" applyFont="1" applyBorder="1" applyAlignment="1">
      <alignment horizontal="right" vertical="center"/>
    </xf>
    <xf numFmtId="180" fontId="99" fillId="0" borderId="12" xfId="0" applyNumberFormat="1" applyFont="1" applyBorder="1" applyAlignment="1">
      <alignment horizontal="right" vertical="center"/>
    </xf>
    <xf numFmtId="0" fontId="100" fillId="0" borderId="10" xfId="0" applyFont="1" applyBorder="1" applyAlignment="1">
      <alignment vertical="center"/>
    </xf>
    <xf numFmtId="0" fontId="92" fillId="35" borderId="10" xfId="0" applyFont="1" applyFill="1" applyBorder="1" applyAlignment="1">
      <alignment vertical="center"/>
    </xf>
    <xf numFmtId="10" fontId="92" fillId="35" borderId="11" xfId="0" applyNumberFormat="1" applyFont="1" applyFill="1" applyBorder="1" applyAlignment="1">
      <alignment horizontal="right" vertical="center" wrapText="1"/>
    </xf>
    <xf numFmtId="10" fontId="92" fillId="35" borderId="10" xfId="0" applyNumberFormat="1" applyFont="1" applyFill="1" applyBorder="1" applyAlignment="1">
      <alignment horizontal="right" vertical="center" wrapText="1"/>
    </xf>
    <xf numFmtId="10" fontId="92" fillId="35" borderId="12" xfId="0" applyNumberFormat="1" applyFont="1" applyFill="1" applyBorder="1" applyAlignment="1">
      <alignment horizontal="right" vertical="center" wrapText="1"/>
    </xf>
    <xf numFmtId="0" fontId="101" fillId="35" borderId="10" xfId="0" applyFont="1" applyFill="1" applyBorder="1" applyAlignment="1">
      <alignment vertical="center" wrapText="1"/>
    </xf>
    <xf numFmtId="0" fontId="22" fillId="0" borderId="0" xfId="0" applyFont="1" applyAlignment="1">
      <alignment/>
    </xf>
    <xf numFmtId="180" fontId="0" fillId="0" borderId="0" xfId="0" applyNumberFormat="1" applyAlignment="1">
      <alignment/>
    </xf>
    <xf numFmtId="3" fontId="15" fillId="33" borderId="14" xfId="55" applyNumberFormat="1" applyFont="1" applyFill="1" applyBorder="1" applyAlignment="1">
      <alignment horizontal="right" vertical="center" wrapText="1"/>
      <protection/>
    </xf>
    <xf numFmtId="3" fontId="15" fillId="33" borderId="0" xfId="55" applyNumberFormat="1" applyFont="1" applyFill="1" applyBorder="1" applyAlignment="1">
      <alignment horizontal="right" vertical="center" wrapText="1"/>
      <protection/>
    </xf>
    <xf numFmtId="3" fontId="15" fillId="33" borderId="15" xfId="55" applyNumberFormat="1" applyFont="1" applyFill="1" applyBorder="1" applyAlignment="1">
      <alignment horizontal="right" vertical="center" wrapText="1"/>
      <protection/>
    </xf>
    <xf numFmtId="0" fontId="93" fillId="0" borderId="10" xfId="55" applyFont="1" applyFill="1" applyBorder="1">
      <alignment/>
      <protection/>
    </xf>
    <xf numFmtId="0" fontId="6" fillId="0" borderId="10" xfId="0" applyFont="1" applyFill="1" applyBorder="1" applyAlignment="1">
      <alignment vertical="center"/>
    </xf>
    <xf numFmtId="180" fontId="3" fillId="0" borderId="11"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2" xfId="0" applyNumberFormat="1" applyFont="1" applyFill="1" applyBorder="1" applyAlignment="1">
      <alignment vertical="center"/>
    </xf>
    <xf numFmtId="180" fontId="92" fillId="35" borderId="11" xfId="0" applyNumberFormat="1" applyFont="1" applyFill="1" applyBorder="1" applyAlignment="1">
      <alignment vertical="center"/>
    </xf>
    <xf numFmtId="180" fontId="92" fillId="35" borderId="10" xfId="0" applyNumberFormat="1" applyFont="1" applyFill="1" applyBorder="1" applyAlignment="1">
      <alignment vertical="center"/>
    </xf>
    <xf numFmtId="180" fontId="92" fillId="35" borderId="12" xfId="0" applyNumberFormat="1" applyFont="1" applyFill="1" applyBorder="1" applyAlignment="1">
      <alignment vertical="center"/>
    </xf>
    <xf numFmtId="0" fontId="6" fillId="0" borderId="0" xfId="0" applyFont="1" applyBorder="1" applyAlignment="1">
      <alignment vertical="center"/>
    </xf>
    <xf numFmtId="180"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95" fillId="0" borderId="13" xfId="0" applyFont="1" applyBorder="1" applyAlignment="1">
      <alignment vertical="center"/>
    </xf>
    <xf numFmtId="0" fontId="99" fillId="0" borderId="18" xfId="0" applyFont="1" applyFill="1" applyBorder="1" applyAlignment="1">
      <alignment vertical="center"/>
    </xf>
    <xf numFmtId="180" fontId="99" fillId="0" borderId="19" xfId="0" applyNumberFormat="1" applyFont="1" applyFill="1" applyBorder="1" applyAlignment="1">
      <alignment horizontal="right" vertical="center"/>
    </xf>
    <xf numFmtId="180" fontId="99" fillId="0" borderId="18" xfId="0" applyNumberFormat="1" applyFont="1" applyFill="1" applyBorder="1" applyAlignment="1">
      <alignment horizontal="right" vertical="center"/>
    </xf>
    <xf numFmtId="180" fontId="99" fillId="0" borderId="20" xfId="0" applyNumberFormat="1" applyFont="1" applyFill="1" applyBorder="1" applyAlignment="1">
      <alignment horizontal="right" vertical="center"/>
    </xf>
    <xf numFmtId="0" fontId="6" fillId="34" borderId="21" xfId="0" applyFont="1" applyFill="1" applyBorder="1" applyAlignment="1">
      <alignment vertical="center" wrapText="1"/>
    </xf>
    <xf numFmtId="180" fontId="16" fillId="34" borderId="22" xfId="0" applyNumberFormat="1" applyFont="1" applyFill="1" applyBorder="1" applyAlignment="1">
      <alignment horizontal="right" vertical="center"/>
    </xf>
    <xf numFmtId="180" fontId="16" fillId="34" borderId="21" xfId="0" applyNumberFormat="1" applyFont="1" applyFill="1" applyBorder="1" applyAlignment="1">
      <alignment horizontal="right" vertical="center"/>
    </xf>
    <xf numFmtId="180" fontId="16" fillId="34" borderId="23" xfId="0" applyNumberFormat="1" applyFont="1" applyFill="1" applyBorder="1" applyAlignment="1">
      <alignment horizontal="right" vertical="center"/>
    </xf>
    <xf numFmtId="0" fontId="102" fillId="0" borderId="10" xfId="0" applyFont="1" applyBorder="1" applyAlignment="1">
      <alignment vertical="center"/>
    </xf>
    <xf numFmtId="0" fontId="103" fillId="0" borderId="11" xfId="0" applyFont="1" applyBorder="1" applyAlignment="1">
      <alignment/>
    </xf>
    <xf numFmtId="0" fontId="103" fillId="0" borderId="10" xfId="0" applyFont="1" applyBorder="1" applyAlignment="1">
      <alignment/>
    </xf>
    <xf numFmtId="0" fontId="103" fillId="0" borderId="12" xfId="0" applyFont="1" applyBorder="1" applyAlignment="1">
      <alignment/>
    </xf>
    <xf numFmtId="0" fontId="103" fillId="0" borderId="0" xfId="0" applyFont="1" applyAlignment="1">
      <alignment/>
    </xf>
    <xf numFmtId="180" fontId="104" fillId="0" borderId="11" xfId="0" applyNumberFormat="1" applyFont="1" applyBorder="1" applyAlignment="1">
      <alignment vertical="center"/>
    </xf>
    <xf numFmtId="180" fontId="104" fillId="0" borderId="10" xfId="0" applyNumberFormat="1" applyFont="1" applyBorder="1" applyAlignment="1">
      <alignment vertical="center"/>
    </xf>
    <xf numFmtId="180" fontId="104" fillId="0" borderId="12" xfId="0" applyNumberFormat="1" applyFont="1" applyBorder="1" applyAlignment="1">
      <alignment vertical="center"/>
    </xf>
    <xf numFmtId="180" fontId="94" fillId="0" borderId="11" xfId="0" applyNumberFormat="1" applyFont="1" applyBorder="1" applyAlignment="1">
      <alignment horizontal="right" vertical="center" wrapText="1"/>
    </xf>
    <xf numFmtId="180" fontId="94" fillId="0" borderId="12" xfId="0" applyNumberFormat="1" applyFont="1" applyBorder="1" applyAlignment="1">
      <alignment horizontal="right" vertical="center" wrapText="1"/>
    </xf>
    <xf numFmtId="180" fontId="97" fillId="0" borderId="10" xfId="0" applyNumberFormat="1" applyFont="1" applyBorder="1" applyAlignment="1">
      <alignment vertical="center"/>
    </xf>
    <xf numFmtId="180" fontId="94" fillId="0" borderId="10" xfId="0" applyNumberFormat="1" applyFont="1" applyBorder="1" applyAlignment="1">
      <alignment horizontal="right" vertical="center" wrapText="1"/>
    </xf>
    <xf numFmtId="182" fontId="16" fillId="0" borderId="0" xfId="63" applyNumberFormat="1" applyFont="1" applyFill="1" applyBorder="1" applyAlignment="1">
      <alignment vertical="center"/>
    </xf>
    <xf numFmtId="0" fontId="20" fillId="0" borderId="0" xfId="0" applyFont="1" applyAlignment="1">
      <alignment/>
    </xf>
    <xf numFmtId="0" fontId="105" fillId="35" borderId="10" xfId="55" applyFont="1" applyFill="1" applyBorder="1" applyAlignment="1">
      <alignment vertical="center"/>
      <protection/>
    </xf>
    <xf numFmtId="0" fontId="105" fillId="35" borderId="10" xfId="0" applyFont="1" applyFill="1" applyBorder="1" applyAlignment="1">
      <alignment vertical="center"/>
    </xf>
    <xf numFmtId="10" fontId="105" fillId="35" borderId="11" xfId="0" applyNumberFormat="1" applyFont="1" applyFill="1" applyBorder="1" applyAlignment="1">
      <alignment horizontal="right" vertical="center" wrapText="1"/>
    </xf>
    <xf numFmtId="10" fontId="105" fillId="35" borderId="10" xfId="0" applyNumberFormat="1" applyFont="1" applyFill="1" applyBorder="1" applyAlignment="1">
      <alignment horizontal="right" vertical="center" wrapText="1"/>
    </xf>
    <xf numFmtId="10" fontId="105" fillId="35" borderId="12" xfId="0" applyNumberFormat="1" applyFont="1" applyFill="1" applyBorder="1" applyAlignment="1">
      <alignment horizontal="right" vertical="center" wrapText="1"/>
    </xf>
    <xf numFmtId="0" fontId="105" fillId="35" borderId="10" xfId="0" applyFont="1" applyFill="1" applyBorder="1" applyAlignment="1">
      <alignment vertical="center" wrapText="1"/>
    </xf>
    <xf numFmtId="0" fontId="105" fillId="35" borderId="10" xfId="55" applyFont="1" applyFill="1" applyBorder="1" applyAlignment="1">
      <alignment vertical="center" wrapText="1"/>
      <protection/>
    </xf>
    <xf numFmtId="180" fontId="17" fillId="0" borderId="10" xfId="0" applyNumberFormat="1" applyFont="1" applyFill="1" applyBorder="1" applyAlignment="1">
      <alignment horizontal="right" vertical="center"/>
    </xf>
    <xf numFmtId="0" fontId="106" fillId="0" borderId="0" xfId="0" applyFont="1" applyFill="1" applyBorder="1" applyAlignment="1">
      <alignment vertical="center"/>
    </xf>
    <xf numFmtId="0" fontId="95" fillId="0" borderId="10" xfId="0" applyFont="1" applyFill="1" applyBorder="1" applyAlignment="1">
      <alignment horizontal="left" vertical="center" wrapText="1"/>
    </xf>
    <xf numFmtId="10" fontId="95" fillId="0" borderId="11" xfId="63" applyNumberFormat="1" applyFont="1" applyFill="1" applyBorder="1" applyAlignment="1">
      <alignment horizontal="right" vertical="center"/>
    </xf>
    <xf numFmtId="10" fontId="95" fillId="0" borderId="10" xfId="63" applyNumberFormat="1" applyFont="1" applyFill="1" applyBorder="1" applyAlignment="1">
      <alignment horizontal="right" vertical="center"/>
    </xf>
    <xf numFmtId="10" fontId="95" fillId="0" borderId="12" xfId="63" applyNumberFormat="1" applyFont="1" applyFill="1" applyBorder="1" applyAlignment="1">
      <alignment horizontal="right" vertical="center"/>
    </xf>
    <xf numFmtId="10" fontId="95" fillId="0" borderId="10" xfId="63" applyNumberFormat="1" applyFont="1" applyFill="1" applyBorder="1" applyAlignment="1">
      <alignment vertical="center"/>
    </xf>
    <xf numFmtId="10" fontId="95" fillId="0" borderId="12" xfId="63" applyNumberFormat="1" applyFont="1" applyFill="1" applyBorder="1" applyAlignment="1">
      <alignment vertical="center"/>
    </xf>
    <xf numFmtId="0" fontId="107" fillId="0" borderId="0" xfId="0" applyFont="1" applyFill="1" applyBorder="1" applyAlignment="1">
      <alignment vertical="center"/>
    </xf>
    <xf numFmtId="0" fontId="24" fillId="0" borderId="0" xfId="0" applyFont="1" applyFill="1" applyAlignment="1">
      <alignment vertical="center" wrapText="1"/>
    </xf>
    <xf numFmtId="180" fontId="16" fillId="34" borderId="10" xfId="0" applyNumberFormat="1" applyFont="1" applyFill="1" applyBorder="1" applyAlignment="1">
      <alignment vertical="center"/>
    </xf>
    <xf numFmtId="180" fontId="16" fillId="34" borderId="12" xfId="0" applyNumberFormat="1" applyFont="1" applyFill="1" applyBorder="1" applyAlignment="1">
      <alignment vertical="center"/>
    </xf>
    <xf numFmtId="0" fontId="8" fillId="0" borderId="0" xfId="0" applyFont="1" applyBorder="1" applyAlignment="1">
      <alignment vertical="center" wrapText="1"/>
    </xf>
    <xf numFmtId="180" fontId="8" fillId="0" borderId="0" xfId="0" applyNumberFormat="1" applyFont="1" applyBorder="1" applyAlignment="1">
      <alignment vertical="center"/>
    </xf>
    <xf numFmtId="180" fontId="17" fillId="0" borderId="0" xfId="0" applyNumberFormat="1" applyFont="1" applyFill="1" applyBorder="1" applyAlignment="1">
      <alignment vertical="center"/>
    </xf>
    <xf numFmtId="0" fontId="16" fillId="0" borderId="10" xfId="0" applyFont="1" applyFill="1" applyBorder="1" applyAlignment="1">
      <alignment horizontal="left" vertical="center"/>
    </xf>
    <xf numFmtId="180" fontId="16" fillId="0" borderId="11" xfId="0" applyNumberFormat="1" applyFont="1" applyFill="1" applyBorder="1" applyAlignment="1">
      <alignment horizontal="right" vertical="center"/>
    </xf>
    <xf numFmtId="180" fontId="16" fillId="0" borderId="10" xfId="0" applyNumberFormat="1" applyFont="1" applyFill="1" applyBorder="1" applyAlignment="1">
      <alignment horizontal="right" vertical="center"/>
    </xf>
    <xf numFmtId="180" fontId="16" fillId="0" borderId="1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0" fontId="17" fillId="0" borderId="11" xfId="0" applyNumberFormat="1" applyFont="1" applyFill="1" applyBorder="1" applyAlignment="1">
      <alignment horizontal="right" vertical="center"/>
    </xf>
    <xf numFmtId="180" fontId="17" fillId="0" borderId="12"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6" fillId="0" borderId="10" xfId="0" applyNumberFormat="1" applyFont="1" applyFill="1" applyBorder="1" applyAlignment="1">
      <alignment horizontal="right" vertical="center"/>
    </xf>
    <xf numFmtId="180" fontId="6" fillId="0" borderId="12" xfId="0" applyNumberFormat="1" applyFont="1" applyFill="1" applyBorder="1" applyAlignment="1">
      <alignment horizontal="right" vertical="center"/>
    </xf>
    <xf numFmtId="180" fontId="89" fillId="35" borderId="11" xfId="0" applyNumberFormat="1" applyFont="1" applyFill="1" applyBorder="1" applyAlignment="1">
      <alignment horizontal="right" vertical="center"/>
    </xf>
    <xf numFmtId="180" fontId="89" fillId="35" borderId="10" xfId="0" applyNumberFormat="1" applyFont="1" applyFill="1" applyBorder="1" applyAlignment="1">
      <alignment horizontal="right" vertical="center"/>
    </xf>
    <xf numFmtId="180" fontId="89" fillId="35" borderId="12" xfId="0" applyNumberFormat="1" applyFont="1" applyFill="1" applyBorder="1" applyAlignment="1">
      <alignment horizontal="right" vertical="center"/>
    </xf>
    <xf numFmtId="0" fontId="25" fillId="0" borderId="0" xfId="0" applyFont="1" applyFill="1" applyBorder="1" applyAlignment="1">
      <alignment vertical="center"/>
    </xf>
    <xf numFmtId="3" fontId="8" fillId="0" borderId="10" xfId="0" applyNumberFormat="1" applyFont="1" applyFill="1" applyBorder="1" applyAlignment="1" quotePrefix="1">
      <alignment vertical="center" wrapText="1"/>
    </xf>
    <xf numFmtId="3" fontId="15" fillId="33" borderId="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indent="1"/>
    </xf>
    <xf numFmtId="180" fontId="95" fillId="0" borderId="16" xfId="0" applyNumberFormat="1" applyFont="1" applyFill="1" applyBorder="1" applyAlignment="1">
      <alignment vertical="center"/>
    </xf>
    <xf numFmtId="180" fontId="95" fillId="0" borderId="13" xfId="0" applyNumberFormat="1" applyFont="1" applyFill="1" applyBorder="1" applyAlignment="1">
      <alignment vertical="center"/>
    </xf>
    <xf numFmtId="180" fontId="95" fillId="0" borderId="17" xfId="0" applyNumberFormat="1" applyFont="1" applyFill="1" applyBorder="1" applyAlignment="1">
      <alignment vertical="center"/>
    </xf>
    <xf numFmtId="180" fontId="16" fillId="0" borderId="22" xfId="0" applyNumberFormat="1" applyFont="1" applyFill="1" applyBorder="1" applyAlignment="1">
      <alignment horizontal="right" vertical="center"/>
    </xf>
    <xf numFmtId="180" fontId="16" fillId="0" borderId="21" xfId="0" applyNumberFormat="1" applyFont="1" applyFill="1" applyBorder="1" applyAlignment="1">
      <alignment horizontal="right" vertical="center"/>
    </xf>
    <xf numFmtId="180" fontId="16" fillId="0" borderId="23" xfId="0" applyNumberFormat="1" applyFont="1" applyFill="1" applyBorder="1" applyAlignment="1">
      <alignment horizontal="right" vertical="center"/>
    </xf>
    <xf numFmtId="0" fontId="0" fillId="0" borderId="0" xfId="0" applyFill="1" applyAlignment="1">
      <alignment/>
    </xf>
    <xf numFmtId="10" fontId="105" fillId="35" borderId="10" xfId="63" applyNumberFormat="1" applyFont="1" applyFill="1" applyBorder="1" applyAlignment="1">
      <alignment horizontal="right" vertical="center"/>
    </xf>
    <xf numFmtId="10" fontId="105" fillId="35" borderId="11" xfId="63" applyNumberFormat="1" applyFont="1" applyFill="1" applyBorder="1" applyAlignment="1">
      <alignment horizontal="right" vertical="center"/>
    </xf>
    <xf numFmtId="180" fontId="94" fillId="0" borderId="11" xfId="0" applyNumberFormat="1" applyFont="1" applyFill="1" applyBorder="1" applyAlignment="1">
      <alignment horizontal="right" vertical="center"/>
    </xf>
    <xf numFmtId="0" fontId="2" fillId="0" borderId="14" xfId="0" applyFont="1" applyFill="1" applyBorder="1" applyAlignment="1">
      <alignment vertical="center"/>
    </xf>
    <xf numFmtId="180" fontId="94" fillId="0" borderId="10" xfId="0" applyNumberFormat="1" applyFont="1" applyFill="1" applyBorder="1" applyAlignment="1">
      <alignment horizontal="right" vertical="center"/>
    </xf>
    <xf numFmtId="180" fontId="98" fillId="0" borderId="10" xfId="0" applyNumberFormat="1" applyFont="1" applyFill="1" applyBorder="1" applyAlignment="1">
      <alignment horizontal="right" vertical="center"/>
    </xf>
    <xf numFmtId="180" fontId="94" fillId="0" borderId="12" xfId="0" applyNumberFormat="1" applyFont="1" applyFill="1" applyBorder="1" applyAlignment="1">
      <alignment horizontal="right" vertical="center"/>
    </xf>
    <xf numFmtId="180" fontId="98" fillId="0" borderId="11" xfId="0" applyNumberFormat="1" applyFont="1" applyFill="1" applyBorder="1" applyAlignment="1">
      <alignment horizontal="right" vertical="center"/>
    </xf>
    <xf numFmtId="180" fontId="98" fillId="0" borderId="12" xfId="0" applyNumberFormat="1" applyFont="1" applyFill="1" applyBorder="1" applyAlignment="1">
      <alignment horizontal="right" vertical="center"/>
    </xf>
    <xf numFmtId="180" fontId="95" fillId="0" borderId="13" xfId="0" applyNumberFormat="1" applyFont="1" applyFill="1" applyBorder="1" applyAlignment="1">
      <alignment horizontal="right" vertical="center"/>
    </xf>
    <xf numFmtId="180" fontId="95" fillId="0" borderId="17" xfId="0" applyNumberFormat="1" applyFont="1" applyFill="1" applyBorder="1" applyAlignment="1">
      <alignment horizontal="right" vertical="center"/>
    </xf>
    <xf numFmtId="180" fontId="104" fillId="0" borderId="10" xfId="0" applyNumberFormat="1" applyFont="1" applyBorder="1" applyAlignment="1">
      <alignment horizontal="right" vertical="center"/>
    </xf>
    <xf numFmtId="180" fontId="104" fillId="0" borderId="12" xfId="0" applyNumberFormat="1" applyFont="1" applyBorder="1" applyAlignment="1">
      <alignment horizontal="right" vertical="center"/>
    </xf>
    <xf numFmtId="0" fontId="0" fillId="0" borderId="10" xfId="0" applyBorder="1" applyAlignment="1">
      <alignment horizontal="right"/>
    </xf>
    <xf numFmtId="0" fontId="0" fillId="0" borderId="12" xfId="0" applyBorder="1" applyAlignment="1">
      <alignment horizontal="right"/>
    </xf>
    <xf numFmtId="10" fontId="101" fillId="35" borderId="10" xfId="63" applyNumberFormat="1" applyFont="1" applyFill="1" applyBorder="1" applyAlignment="1">
      <alignment horizontal="right" vertical="center"/>
    </xf>
    <xf numFmtId="10" fontId="101" fillId="35" borderId="12" xfId="63" applyNumberFormat="1" applyFont="1" applyFill="1" applyBorder="1" applyAlignment="1">
      <alignment horizontal="right" vertical="center"/>
    </xf>
    <xf numFmtId="10" fontId="105" fillId="35" borderId="12" xfId="63"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0" fontId="103" fillId="0" borderId="10" xfId="0" applyFont="1" applyBorder="1" applyAlignment="1">
      <alignment horizontal="right"/>
    </xf>
    <xf numFmtId="0" fontId="103" fillId="0" borderId="11" xfId="0" applyFont="1" applyBorder="1" applyAlignment="1">
      <alignment horizontal="right"/>
    </xf>
    <xf numFmtId="0" fontId="103" fillId="0" borderId="12" xfId="0" applyFont="1" applyBorder="1" applyAlignment="1">
      <alignment horizontal="right"/>
    </xf>
    <xf numFmtId="180" fontId="95" fillId="0" borderId="16" xfId="0" applyNumberFormat="1" applyFont="1" applyFill="1" applyBorder="1" applyAlignment="1">
      <alignment horizontal="right" vertical="center"/>
    </xf>
    <xf numFmtId="180" fontId="104" fillId="0" borderId="11" xfId="0" applyNumberFormat="1" applyFont="1" applyBorder="1" applyAlignment="1">
      <alignment horizontal="right" vertical="center"/>
    </xf>
    <xf numFmtId="0" fontId="0" fillId="0" borderId="11" xfId="0" applyBorder="1" applyAlignment="1">
      <alignment horizontal="right"/>
    </xf>
    <xf numFmtId="10" fontId="101" fillId="35" borderId="11" xfId="63" applyNumberFormat="1" applyFont="1" applyFill="1" applyBorder="1" applyAlignment="1">
      <alignment horizontal="right" vertical="center"/>
    </xf>
    <xf numFmtId="0" fontId="8" fillId="0" borderId="0" xfId="0" applyFont="1" applyFill="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180" fontId="17" fillId="0" borderId="15" xfId="0" applyNumberFormat="1" applyFont="1" applyFill="1" applyBorder="1" applyAlignment="1">
      <alignment vertical="center"/>
    </xf>
    <xf numFmtId="181" fontId="8" fillId="34" borderId="10" xfId="63" applyNumberFormat="1" applyFont="1" applyFill="1" applyBorder="1" applyAlignment="1">
      <alignment vertical="center"/>
    </xf>
    <xf numFmtId="180" fontId="2" fillId="0" borderId="0" xfId="0" applyNumberFormat="1" applyFont="1" applyFill="1" applyBorder="1" applyAlignment="1">
      <alignment vertical="center"/>
    </xf>
    <xf numFmtId="180" fontId="17" fillId="0" borderId="10" xfId="56" applyNumberFormat="1" applyFont="1" applyFill="1" applyBorder="1" applyAlignment="1">
      <alignment vertical="center"/>
      <protection/>
    </xf>
    <xf numFmtId="180" fontId="8" fillId="0" borderId="10" xfId="56" applyNumberFormat="1" applyFont="1" applyFill="1" applyBorder="1" applyAlignment="1">
      <alignment vertical="center"/>
      <protection/>
    </xf>
    <xf numFmtId="180" fontId="17" fillId="0" borderId="12" xfId="56" applyNumberFormat="1" applyFont="1" applyFill="1" applyBorder="1" applyAlignment="1">
      <alignment vertical="center"/>
      <protection/>
    </xf>
    <xf numFmtId="180" fontId="8" fillId="0" borderId="12" xfId="56" applyNumberFormat="1" applyFont="1" applyFill="1" applyBorder="1" applyAlignment="1">
      <alignment vertical="center"/>
      <protection/>
    </xf>
    <xf numFmtId="0" fontId="24" fillId="37" borderId="0" xfId="0" applyFont="1" applyFill="1" applyAlignment="1">
      <alignment vertical="center" wrapText="1"/>
    </xf>
    <xf numFmtId="0" fontId="3" fillId="0" borderId="0" xfId="0" applyFont="1" applyFill="1" applyBorder="1" applyAlignment="1">
      <alignment vertical="center"/>
    </xf>
    <xf numFmtId="0" fontId="16" fillId="0" borderId="0" xfId="0" applyFont="1" applyFill="1" applyAlignment="1">
      <alignment vertical="center" wrapText="1"/>
    </xf>
    <xf numFmtId="181" fontId="8" fillId="0" borderId="0" xfId="0" applyNumberFormat="1" applyFont="1" applyBorder="1" applyAlignment="1">
      <alignment vertical="center"/>
    </xf>
    <xf numFmtId="181" fontId="2" fillId="0" borderId="0" xfId="0" applyNumberFormat="1" applyFont="1" applyBorder="1" applyAlignment="1">
      <alignment vertical="center"/>
    </xf>
    <xf numFmtId="0" fontId="17" fillId="0" borderId="0" xfId="59" applyFont="1" applyBorder="1" applyAlignment="1">
      <alignment vertical="center"/>
      <protection/>
    </xf>
    <xf numFmtId="180" fontId="95" fillId="34" borderId="10" xfId="0" applyNumberFormat="1" applyFont="1" applyFill="1" applyBorder="1" applyAlignment="1">
      <alignment horizontal="right" vertical="center"/>
    </xf>
    <xf numFmtId="180" fontId="17" fillId="34" borderId="10" xfId="0" applyNumberFormat="1" applyFont="1" applyFill="1" applyBorder="1" applyAlignment="1">
      <alignment vertical="center"/>
    </xf>
    <xf numFmtId="0" fontId="27" fillId="37" borderId="0" xfId="0" applyFont="1" applyFill="1" applyAlignment="1">
      <alignment vertical="center" wrapText="1"/>
    </xf>
    <xf numFmtId="0" fontId="15" fillId="35" borderId="0" xfId="0" applyNumberFormat="1" applyFont="1" applyFill="1" applyBorder="1" applyAlignment="1">
      <alignment vertical="center" wrapText="1"/>
    </xf>
    <xf numFmtId="180" fontId="95" fillId="0" borderId="10" xfId="0" applyNumberFormat="1" applyFont="1" applyFill="1" applyBorder="1" applyAlignment="1" quotePrefix="1">
      <alignment horizontal="right" vertical="center"/>
    </xf>
    <xf numFmtId="2" fontId="31" fillId="0" borderId="0" xfId="0" applyNumberFormat="1" applyFont="1" applyBorder="1" applyAlignment="1">
      <alignment vertical="center"/>
    </xf>
    <xf numFmtId="180" fontId="31" fillId="0" borderId="0" xfId="0" applyNumberFormat="1" applyFont="1" applyBorder="1" applyAlignment="1">
      <alignment vertical="center"/>
    </xf>
    <xf numFmtId="0" fontId="31" fillId="0" borderId="0" xfId="0" applyFont="1" applyBorder="1" applyAlignment="1">
      <alignment vertical="center"/>
    </xf>
    <xf numFmtId="3" fontId="15" fillId="33" borderId="14" xfId="0" applyNumberFormat="1" applyFont="1" applyFill="1" applyBorder="1" applyAlignment="1">
      <alignment horizontal="center" vertical="center" wrapText="1"/>
    </xf>
    <xf numFmtId="180" fontId="17" fillId="0" borderId="14" xfId="0" applyNumberFormat="1" applyFont="1" applyFill="1" applyBorder="1" applyAlignment="1">
      <alignment vertical="center"/>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5" fillId="33" borderId="14" xfId="0" applyNumberFormat="1" applyFont="1" applyFill="1" applyBorder="1" applyAlignment="1">
      <alignment horizontal="center" vertical="center" wrapText="1"/>
    </xf>
    <xf numFmtId="0" fontId="15" fillId="35" borderId="0" xfId="0" applyNumberFormat="1" applyFont="1" applyFill="1" applyBorder="1" applyAlignment="1">
      <alignment horizontal="center" vertical="center" wrapText="1"/>
    </xf>
    <xf numFmtId="0" fontId="15" fillId="35" borderId="15" xfId="0" applyNumberFormat="1" applyFont="1" applyFill="1" applyBorder="1" applyAlignment="1">
      <alignment horizontal="center" vertical="center" wrapText="1"/>
    </xf>
    <xf numFmtId="0" fontId="15" fillId="33" borderId="15" xfId="0" applyNumberFormat="1" applyFont="1" applyFill="1" applyBorder="1" applyAlignment="1">
      <alignment horizontal="center" vertical="center" wrapText="1"/>
    </xf>
    <xf numFmtId="1" fontId="15" fillId="33" borderId="14" xfId="0" applyNumberFormat="1" applyFont="1" applyFill="1" applyBorder="1" applyAlignment="1">
      <alignment horizontal="center" vertical="center" wrapText="1"/>
    </xf>
    <xf numFmtId="1" fontId="15" fillId="33" borderId="0" xfId="0" applyNumberFormat="1" applyFont="1" applyFill="1" applyBorder="1" applyAlignment="1">
      <alignment horizontal="center" vertical="center" wrapText="1"/>
    </xf>
    <xf numFmtId="0" fontId="15" fillId="35" borderId="14" xfId="0" applyNumberFormat="1" applyFont="1" applyFill="1" applyBorder="1" applyAlignment="1">
      <alignment horizontal="center" vertical="center" wrapText="1"/>
    </xf>
    <xf numFmtId="180" fontId="8" fillId="0" borderId="16" xfId="0" applyNumberFormat="1" applyFont="1" applyFill="1" applyBorder="1" applyAlignment="1">
      <alignment vertical="center"/>
    </xf>
    <xf numFmtId="0" fontId="0" fillId="0" borderId="14" xfId="0" applyBorder="1" applyAlignment="1">
      <alignment vertical="center"/>
    </xf>
    <xf numFmtId="0" fontId="0" fillId="0" borderId="19" xfId="0" applyBorder="1" applyAlignment="1">
      <alignment vertical="center"/>
    </xf>
    <xf numFmtId="1" fontId="15" fillId="33" borderId="14" xfId="55" applyNumberFormat="1" applyFont="1" applyFill="1" applyBorder="1" applyAlignment="1">
      <alignment horizontal="center" vertical="center"/>
      <protection/>
    </xf>
    <xf numFmtId="1" fontId="15" fillId="33" borderId="0" xfId="55" applyNumberFormat="1" applyFont="1" applyFill="1" applyBorder="1" applyAlignment="1">
      <alignment horizontal="center" vertical="center"/>
      <protection/>
    </xf>
    <xf numFmtId="1" fontId="15" fillId="33" borderId="14" xfId="55" applyNumberFormat="1" applyFont="1" applyFill="1" applyBorder="1" applyAlignment="1">
      <alignment horizontal="center" vertical="center" wrapText="1"/>
      <protection/>
    </xf>
    <xf numFmtId="1" fontId="15" fillId="33" borderId="0" xfId="55" applyNumberFormat="1" applyFont="1" applyFill="1" applyBorder="1" applyAlignment="1">
      <alignment horizontal="center" vertical="center" wrapText="1"/>
      <protection/>
    </xf>
    <xf numFmtId="0" fontId="15" fillId="33" borderId="14"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15" xfId="0" applyNumberFormat="1" applyFont="1" applyFill="1" applyBorder="1" applyAlignment="1">
      <alignment horizontal="center" vertical="center"/>
    </xf>
    <xf numFmtId="0" fontId="0" fillId="0" borderId="0" xfId="0" applyAlignment="1">
      <alignment horizontal="center" vertical="center" wrapText="1"/>
    </xf>
  </cellXfs>
  <cellStyles count="60">
    <cellStyle name="Normal" xfId="0"/>
    <cellStyle name="˙˙˙" xfId="15"/>
    <cellStyle name="˙˙˙ 2"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Dane wejściowe" xfId="41"/>
    <cellStyle name="Dane wyjściowe" xfId="42"/>
    <cellStyle name="Dobry"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3 2" xfId="57"/>
    <cellStyle name="Normalny 4" xfId="58"/>
    <cellStyle name="Normalny 4 2" xfId="59"/>
    <cellStyle name="Normalny 5" xfId="60"/>
    <cellStyle name="Obliczenia" xfId="61"/>
    <cellStyle name="Followed Hyperlink" xfId="62"/>
    <cellStyle name="Percent" xfId="63"/>
    <cellStyle name="Procentowy 2" xfId="64"/>
    <cellStyle name="Procentowy 3" xfId="65"/>
    <cellStyle name="Suma" xfId="66"/>
    <cellStyle name="Tekst objaśnienia" xfId="67"/>
    <cellStyle name="Tekst ostrzeżenia" xfId="68"/>
    <cellStyle name="Tytuł" xfId="69"/>
    <cellStyle name="Uwaga" xfId="70"/>
    <cellStyle name="Currency" xfId="71"/>
    <cellStyle name="Currency [0]"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Q57"/>
  <sheetViews>
    <sheetView showGridLines="0" tabSelected="1" view="pageBreakPreview" zoomScaleNormal="85" zoomScaleSheetLayoutView="100" zoomScalePageLayoutView="80" workbookViewId="0" topLeftCell="A1">
      <pane xSplit="1" ySplit="3" topLeftCell="AB4" activePane="bottomRight" state="frozen"/>
      <selection pane="topLeft" activeCell="B1" sqref="B1"/>
      <selection pane="topRight" activeCell="B1" sqref="B1"/>
      <selection pane="bottomLeft" activeCell="B1" sqref="B1"/>
      <selection pane="bottomRight" activeCell="A2" sqref="A2:A3"/>
    </sheetView>
  </sheetViews>
  <sheetFormatPr defaultColWidth="8.875" defaultRowHeight="12.75"/>
  <cols>
    <col min="1" max="1" width="50.75390625" style="2" customWidth="1"/>
    <col min="2" max="26" width="9.625" style="25" bestFit="1" customWidth="1"/>
    <col min="27" max="27" width="9.625" style="3" bestFit="1" customWidth="1"/>
    <col min="28" max="31" width="9.625" style="3" customWidth="1"/>
    <col min="32" max="32" width="9.625" style="3" bestFit="1" customWidth="1"/>
    <col min="33" max="33" width="9.625" style="3" customWidth="1"/>
    <col min="34" max="34" width="9.625" style="3" bestFit="1" customWidth="1"/>
    <col min="35" max="35" width="9.625" style="3" customWidth="1"/>
    <col min="36" max="36" width="9.625" style="3" bestFit="1" customWidth="1"/>
    <col min="37" max="43" width="9.625" style="3" customWidth="1"/>
    <col min="44" max="16384" width="8.875" style="3" customWidth="1"/>
  </cols>
  <sheetData>
    <row r="1" ht="12.75">
      <c r="A1" s="246" t="s">
        <v>281</v>
      </c>
    </row>
    <row r="2" spans="1:43" ht="12.75" customHeight="1">
      <c r="A2" s="332" t="s">
        <v>176</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5"/>
      <c r="Z2" s="334">
        <v>2013</v>
      </c>
      <c r="AA2" s="335"/>
      <c r="AB2" s="335"/>
      <c r="AC2" s="337"/>
      <c r="AD2" s="334">
        <v>2014</v>
      </c>
      <c r="AE2" s="335"/>
      <c r="AF2" s="335"/>
      <c r="AG2" s="335"/>
      <c r="AH2" s="334">
        <v>2015</v>
      </c>
      <c r="AI2" s="335"/>
      <c r="AJ2" s="335"/>
      <c r="AK2" s="335"/>
      <c r="AL2" s="334">
        <v>2016</v>
      </c>
      <c r="AM2" s="335"/>
      <c r="AN2" s="335"/>
      <c r="AO2" s="336"/>
      <c r="AP2" s="335">
        <v>2017</v>
      </c>
      <c r="AQ2" s="335"/>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6" t="s">
        <v>3</v>
      </c>
      <c r="AP3" s="35" t="s">
        <v>0</v>
      </c>
      <c r="AQ3" s="35" t="s">
        <v>1</v>
      </c>
    </row>
    <row r="4" spans="1:43" s="4" customFormat="1" ht="12.75" customHeight="1">
      <c r="A4" s="20" t="s">
        <v>5</v>
      </c>
      <c r="B4" s="26"/>
      <c r="C4" s="27"/>
      <c r="D4" s="27"/>
      <c r="E4" s="27"/>
      <c r="F4" s="26"/>
      <c r="G4" s="27"/>
      <c r="H4" s="27"/>
      <c r="I4" s="28"/>
      <c r="J4" s="26"/>
      <c r="K4" s="27"/>
      <c r="L4" s="27"/>
      <c r="M4" s="28"/>
      <c r="N4" s="26"/>
      <c r="O4" s="27"/>
      <c r="P4" s="27"/>
      <c r="Q4" s="28"/>
      <c r="R4" s="26"/>
      <c r="S4" s="27"/>
      <c r="T4" s="27"/>
      <c r="U4" s="28"/>
      <c r="V4" s="26"/>
      <c r="W4" s="27"/>
      <c r="X4" s="27"/>
      <c r="Y4" s="27"/>
      <c r="Z4" s="26"/>
      <c r="AA4" s="27"/>
      <c r="AB4" s="27"/>
      <c r="AC4" s="28"/>
      <c r="AD4" s="27"/>
      <c r="AE4" s="27"/>
      <c r="AF4" s="27"/>
      <c r="AG4" s="27"/>
      <c r="AH4" s="26"/>
      <c r="AI4" s="27"/>
      <c r="AJ4" s="27"/>
      <c r="AK4" s="27"/>
      <c r="AL4" s="26"/>
      <c r="AM4" s="27"/>
      <c r="AN4" s="27"/>
      <c r="AO4" s="28"/>
      <c r="AP4" s="27"/>
      <c r="AQ4" s="27"/>
    </row>
    <row r="5" spans="1:43" s="9" customFormat="1" ht="12.75">
      <c r="A5" s="37" t="s">
        <v>188</v>
      </c>
      <c r="B5" s="26"/>
      <c r="C5" s="27"/>
      <c r="D5" s="27"/>
      <c r="E5" s="27"/>
      <c r="F5" s="26"/>
      <c r="G5" s="27"/>
      <c r="H5" s="27"/>
      <c r="I5" s="28"/>
      <c r="J5" s="26"/>
      <c r="K5" s="27"/>
      <c r="L5" s="27"/>
      <c r="M5" s="28"/>
      <c r="N5" s="26"/>
      <c r="O5" s="27"/>
      <c r="P5" s="27"/>
      <c r="Q5" s="28"/>
      <c r="R5" s="26"/>
      <c r="S5" s="27"/>
      <c r="T5" s="27"/>
      <c r="U5" s="28"/>
      <c r="V5" s="26"/>
      <c r="W5" s="27"/>
      <c r="X5" s="27"/>
      <c r="Y5" s="27"/>
      <c r="Z5" s="26"/>
      <c r="AA5" s="27"/>
      <c r="AB5" s="27"/>
      <c r="AC5" s="28"/>
      <c r="AD5" s="27"/>
      <c r="AE5" s="27"/>
      <c r="AF5" s="27"/>
      <c r="AG5" s="27"/>
      <c r="AH5" s="26"/>
      <c r="AI5" s="27"/>
      <c r="AJ5" s="27"/>
      <c r="AK5" s="27"/>
      <c r="AL5" s="26"/>
      <c r="AM5" s="27"/>
      <c r="AN5" s="27"/>
      <c r="AO5" s="28"/>
      <c r="AP5" s="27"/>
      <c r="AQ5" s="27"/>
    </row>
    <row r="6" spans="1:43" s="7" customFormat="1" ht="13.5">
      <c r="A6" s="38" t="s">
        <v>179</v>
      </c>
      <c r="B6" s="39">
        <f>'RZiS_P&amp;L'!B15+'RZiS_P&amp;L'!B22</f>
        <v>539.2</v>
      </c>
      <c r="C6" s="40">
        <f>'RZiS_P&amp;L'!C15+'RZiS_P&amp;L'!C22</f>
        <v>522.2000000000002</v>
      </c>
      <c r="D6" s="40">
        <f>'RZiS_P&amp;L'!D15+'RZiS_P&amp;L'!D22</f>
        <v>542.3</v>
      </c>
      <c r="E6" s="41">
        <f>'RZiS_P&amp;L'!E15+'RZiS_P&amp;L'!E22</f>
        <v>473.19999999999993</v>
      </c>
      <c r="F6" s="39">
        <f>'RZiS_P&amp;L'!F15+'RZiS_P&amp;L'!F22</f>
        <v>582.7</v>
      </c>
      <c r="G6" s="40">
        <f>'RZiS_P&amp;L'!G15+'RZiS_P&amp;L'!G22</f>
        <v>625.6999999999999</v>
      </c>
      <c r="H6" s="40">
        <f>'RZiS_P&amp;L'!H15+'RZiS_P&amp;L'!H22</f>
        <v>620.2</v>
      </c>
      <c r="I6" s="41">
        <f>'RZiS_P&amp;L'!I15+'RZiS_P&amp;L'!I22</f>
        <v>303.9</v>
      </c>
      <c r="J6" s="39">
        <f>'RZiS_P&amp;L'!J15+'RZiS_P&amp;L'!J22</f>
        <v>561.3999999999999</v>
      </c>
      <c r="K6" s="40">
        <f>'RZiS_P&amp;L'!K15+'RZiS_P&amp;L'!K22</f>
        <v>689.1</v>
      </c>
      <c r="L6" s="40">
        <f>'RZiS_P&amp;L'!L15+'RZiS_P&amp;L'!L22</f>
        <v>708.3999999999999</v>
      </c>
      <c r="M6" s="41">
        <f>'RZiS_P&amp;L'!M15+'RZiS_P&amp;L'!M22</f>
        <v>589.6999999999999</v>
      </c>
      <c r="N6" s="39">
        <f>'RZiS_P&amp;L'!N15+'RZiS_P&amp;L'!N22</f>
        <v>661.9999999999999</v>
      </c>
      <c r="O6" s="40">
        <f>'RZiS_P&amp;L'!O15+'RZiS_P&amp;L'!O22</f>
        <v>682.5</v>
      </c>
      <c r="P6" s="40">
        <f>'RZiS_P&amp;L'!P15+'RZiS_P&amp;L'!P22</f>
        <v>704.0999999999999</v>
      </c>
      <c r="Q6" s="41">
        <f>'RZiS_P&amp;L'!Q15+'RZiS_P&amp;L'!Q22</f>
        <v>698.5999999999999</v>
      </c>
      <c r="R6" s="39">
        <f>'RZiS_P&amp;L'!R15+'RZiS_P&amp;L'!R22</f>
        <v>741.6</v>
      </c>
      <c r="S6" s="40">
        <f>'RZiS_P&amp;L'!S15+'RZiS_P&amp;L'!S22</f>
        <v>759.5</v>
      </c>
      <c r="T6" s="40">
        <f>'RZiS_P&amp;L'!T15+'RZiS_P&amp;L'!T22</f>
        <v>734.8000000000001</v>
      </c>
      <c r="U6" s="41">
        <f>'RZiS_P&amp;L'!U15+'RZiS_P&amp;L'!U22</f>
        <v>754.1</v>
      </c>
      <c r="V6" s="39">
        <f>'RZiS_P&amp;L'!V15+'RZiS_P&amp;L'!V22</f>
        <v>856.8000000000001</v>
      </c>
      <c r="W6" s="40">
        <f>'RZiS_P&amp;L'!W15+'RZiS_P&amp;L'!W22</f>
        <v>803.5</v>
      </c>
      <c r="X6" s="40">
        <f>'RZiS_P&amp;L'!X15+'RZiS_P&amp;L'!X22</f>
        <v>801.4999999999999</v>
      </c>
      <c r="Y6" s="40">
        <f>'RZiS_P&amp;L'!Y15+'RZiS_P&amp;L'!Y22</f>
        <v>783.3000000000001</v>
      </c>
      <c r="Z6" s="39">
        <f>'RZiS_P&amp;L'!Z15+'RZiS_P&amp;L'!Z22</f>
        <v>864.1999999999999</v>
      </c>
      <c r="AA6" s="40">
        <f>'RZiS_P&amp;L'!AA15+'RZiS_P&amp;L'!AA22</f>
        <v>814.0999999999999</v>
      </c>
      <c r="AB6" s="40">
        <f>'RZiS_P&amp;L'!AB15+'RZiS_P&amp;L'!AB22</f>
        <v>811.1000000000001</v>
      </c>
      <c r="AC6" s="41">
        <f>'RZiS_P&amp;L'!AC15+'RZiS_P&amp;L'!AC22</f>
        <v>839.1</v>
      </c>
      <c r="AD6" s="40">
        <f>'RZiS_P&amp;L'!AD15+'RZiS_P&amp;L'!AD22</f>
        <v>883.8</v>
      </c>
      <c r="AE6" s="40">
        <f>'RZiS_P&amp;L'!AE15+'RZiS_P&amp;L'!AE22</f>
        <v>897.7</v>
      </c>
      <c r="AF6" s="40">
        <f>'RZiS_P&amp;L'!AF15+'RZiS_P&amp;L'!AF22</f>
        <v>897.3000000000002</v>
      </c>
      <c r="AG6" s="40">
        <f>'RZiS_P&amp;L'!AG15+'RZiS_P&amp;L'!AG22</f>
        <v>866</v>
      </c>
      <c r="AH6" s="39">
        <f>'RZiS_P&amp;L'!AH15+'RZiS_P&amp;L'!AH22</f>
        <v>906</v>
      </c>
      <c r="AI6" s="40">
        <f>'RZiS_P&amp;L'!AI15+'RZiS_P&amp;L'!AI22</f>
        <v>981.4</v>
      </c>
      <c r="AJ6" s="40">
        <f>'RZiS_P&amp;L'!AJ15+'RZiS_P&amp;L'!AJ22</f>
        <v>937.1</v>
      </c>
      <c r="AK6" s="40">
        <f>'RZiS_P&amp;L'!AK15+'RZiS_P&amp;L'!AK22</f>
        <v>953.6</v>
      </c>
      <c r="AL6" s="39">
        <f>'RZiS_P&amp;L'!AL15+'RZiS_P&amp;L'!AL22</f>
        <v>975.6</v>
      </c>
      <c r="AM6" s="40">
        <f>'RZiS_P&amp;L'!AM15+'RZiS_P&amp;L'!AM22</f>
        <v>1152.4</v>
      </c>
      <c r="AN6" s="40">
        <f>'RZiS_P&amp;L'!AN15+'RZiS_P&amp;L'!AN22</f>
        <v>1074.5000000000002</v>
      </c>
      <c r="AO6" s="41">
        <f>'RZiS_P&amp;L'!AO15+'RZiS_P&amp;L'!AO22</f>
        <v>1122</v>
      </c>
      <c r="AP6" s="40">
        <f>'RZiS_P&amp;L'!AP15+'RZiS_P&amp;L'!AP22</f>
        <v>1134.5</v>
      </c>
      <c r="AQ6" s="40">
        <f>'RZiS_P&amp;L'!AQ15+'RZiS_P&amp;L'!AQ22</f>
        <v>1190.3999999999996</v>
      </c>
    </row>
    <row r="7" spans="1:43" s="7" customFormat="1" ht="12.75">
      <c r="A7" s="38" t="s">
        <v>359</v>
      </c>
      <c r="B7" s="39">
        <f>'RZiS_P&amp;L'!B16</f>
        <v>336.1</v>
      </c>
      <c r="C7" s="40">
        <f>'RZiS_P&amp;L'!C16</f>
        <v>345</v>
      </c>
      <c r="D7" s="40">
        <f>'RZiS_P&amp;L'!D16</f>
        <v>356.9</v>
      </c>
      <c r="E7" s="41">
        <f>'RZiS_P&amp;L'!E16-'RZiS_P&amp;L'!E20</f>
        <v>355.1</v>
      </c>
      <c r="F7" s="39">
        <f>'RZiS_P&amp;L'!F16</f>
        <v>367.69999999999993</v>
      </c>
      <c r="G7" s="40">
        <f>'RZiS_P&amp;L'!G16</f>
        <v>389.9</v>
      </c>
      <c r="H7" s="40">
        <f>'RZiS_P&amp;L'!H16</f>
        <v>407.7</v>
      </c>
      <c r="I7" s="41">
        <f>'RZiS_P&amp;L'!I16-'RZiS_P&amp;L'!I20</f>
        <v>338.59999999999997</v>
      </c>
      <c r="J7" s="39">
        <f>'RZiS_P&amp;L'!J16</f>
        <v>366.79999999999995</v>
      </c>
      <c r="K7" s="40">
        <f>'RZiS_P&amp;L'!K16</f>
        <v>386.6</v>
      </c>
      <c r="L7" s="40">
        <f>'RZiS_P&amp;L'!L16</f>
        <v>397.29999999999995</v>
      </c>
      <c r="M7" s="41">
        <f>'RZiS_P&amp;L'!M16-'RZiS_P&amp;L'!M20</f>
        <v>355.2</v>
      </c>
      <c r="N7" s="39">
        <f>'RZiS_P&amp;L'!N16</f>
        <v>394.4</v>
      </c>
      <c r="O7" s="40">
        <f>'RZiS_P&amp;L'!O16</f>
        <v>407.1</v>
      </c>
      <c r="P7" s="40">
        <f>'RZiS_P&amp;L'!P16</f>
        <v>411.6</v>
      </c>
      <c r="Q7" s="41">
        <f>'RZiS_P&amp;L'!Q16-'RZiS_P&amp;L'!Q20</f>
        <v>396.4</v>
      </c>
      <c r="R7" s="39">
        <f>'RZiS_P&amp;L'!R16</f>
        <v>417.4</v>
      </c>
      <c r="S7" s="40">
        <f>'RZiS_P&amp;L'!S16</f>
        <v>431.8</v>
      </c>
      <c r="T7" s="40">
        <f>'RZiS_P&amp;L'!T16</f>
        <v>431.1</v>
      </c>
      <c r="U7" s="41">
        <f>'RZiS_P&amp;L'!U16-'RZiS_P&amp;L'!U20</f>
        <v>419.7</v>
      </c>
      <c r="V7" s="39">
        <f>'RZiS_P&amp;L'!V16</f>
        <v>474.90000000000003</v>
      </c>
      <c r="W7" s="40">
        <f>'RZiS_P&amp;L'!W16</f>
        <v>465</v>
      </c>
      <c r="X7" s="40">
        <f>'RZiS_P&amp;L'!X16</f>
        <v>466.2</v>
      </c>
      <c r="Y7" s="40">
        <f>'RZiS_P&amp;L'!Y16-'RZiS_P&amp;L'!Y20</f>
        <v>460.1</v>
      </c>
      <c r="Z7" s="39">
        <f>'RZiS_P&amp;L'!Z16</f>
        <v>482.2</v>
      </c>
      <c r="AA7" s="40">
        <f>'RZiS_P&amp;L'!AA16</f>
        <v>477</v>
      </c>
      <c r="AB7" s="40">
        <f>'RZiS_P&amp;L'!AB16</f>
        <v>458.79999999999995</v>
      </c>
      <c r="AC7" s="41">
        <f>'RZiS_P&amp;L'!AC16-'RZiS_P&amp;L'!AC20</f>
        <v>450.40000000000003</v>
      </c>
      <c r="AD7" s="40">
        <f>'RZiS_P&amp;L'!AD16-'RZiS_P&amp;L'!AD20</f>
        <v>471.20000000000005</v>
      </c>
      <c r="AE7" s="40">
        <f>'RZiS_P&amp;L'!AE16-'RZiS_P&amp;L'!AE20</f>
        <v>480.5</v>
      </c>
      <c r="AF7" s="40">
        <f>'RZiS_P&amp;L'!AF16-'RZiS_P&amp;L'!AF20</f>
        <v>489.5</v>
      </c>
      <c r="AG7" s="40">
        <f>'RZiS_P&amp;L'!AG16-'RZiS_P&amp;L'!AG20</f>
        <v>488.5</v>
      </c>
      <c r="AH7" s="39">
        <f>'RZiS_P&amp;L'!AH16-'RZiS_P&amp;L'!AH20</f>
        <v>495.6</v>
      </c>
      <c r="AI7" s="40">
        <f>'RZiS_P&amp;L'!AI16-'RZiS_P&amp;L'!AI20</f>
        <v>502.29999999999995</v>
      </c>
      <c r="AJ7" s="40">
        <f>'RZiS_P&amp;L'!AJ16-'RZiS_P&amp;L'!AJ20</f>
        <v>509.8</v>
      </c>
      <c r="AK7" s="40">
        <f>'RZiS_P&amp;L'!AK16-'RZiS_P&amp;L'!AK20</f>
        <v>648</v>
      </c>
      <c r="AL7" s="39">
        <f>'RZiS_P&amp;L'!AL16</f>
        <v>508.8</v>
      </c>
      <c r="AM7" s="40">
        <f>'RZiS_P&amp;L'!AM16</f>
        <v>517.2</v>
      </c>
      <c r="AN7" s="40">
        <f>'RZiS_P&amp;L'!AN16</f>
        <v>515.5</v>
      </c>
      <c r="AO7" s="41">
        <f>'RZiS_P&amp;L'!AO16</f>
        <v>557.7</v>
      </c>
      <c r="AP7" s="40">
        <f>'RZiS_P&amp;L'!AP16</f>
        <v>564.4</v>
      </c>
      <c r="AQ7" s="40">
        <f>'RZiS_P&amp;L'!AQ16</f>
        <v>510.3</v>
      </c>
    </row>
    <row r="8" spans="1:43" s="7" customFormat="1" ht="12.75">
      <c r="A8" s="38" t="s">
        <v>177</v>
      </c>
      <c r="B8" s="39">
        <f>'RZiS_P&amp;L'!B21</f>
        <v>-6.3</v>
      </c>
      <c r="C8" s="40">
        <f>'RZiS_P&amp;L'!C21</f>
        <v>-26.7</v>
      </c>
      <c r="D8" s="40">
        <f>'RZiS_P&amp;L'!D21</f>
        <v>-64.4</v>
      </c>
      <c r="E8" s="41">
        <f>'RZiS_P&amp;L'!E21</f>
        <v>-5.8</v>
      </c>
      <c r="F8" s="39">
        <f>'RZiS_P&amp;L'!F21</f>
        <v>0.7</v>
      </c>
      <c r="G8" s="40">
        <f>'RZiS_P&amp;L'!G21</f>
        <v>-58.8</v>
      </c>
      <c r="H8" s="40">
        <f>'RZiS_P&amp;L'!H21</f>
        <v>7.2</v>
      </c>
      <c r="I8" s="41">
        <f>'RZiS_P&amp;L'!I21</f>
        <v>116.5</v>
      </c>
      <c r="J8" s="39">
        <f>'RZiS_P&amp;L'!J21</f>
        <v>91.7</v>
      </c>
      <c r="K8" s="40">
        <f>'RZiS_P&amp;L'!K21</f>
        <v>73.8</v>
      </c>
      <c r="L8" s="40">
        <f>'RZiS_P&amp;L'!L21</f>
        <v>54.1</v>
      </c>
      <c r="M8" s="41">
        <f>'RZiS_P&amp;L'!M21</f>
        <v>84.8</v>
      </c>
      <c r="N8" s="39">
        <f>'RZiS_P&amp;L'!N21</f>
        <v>48.1</v>
      </c>
      <c r="O8" s="40">
        <f>'RZiS_P&amp;L'!O21</f>
        <v>39.2</v>
      </c>
      <c r="P8" s="40">
        <f>'RZiS_P&amp;L'!P21</f>
        <v>55.1</v>
      </c>
      <c r="Q8" s="41">
        <f>'RZiS_P&amp;L'!Q21</f>
        <v>61.2</v>
      </c>
      <c r="R8" s="39">
        <f>'RZiS_P&amp;L'!R21</f>
        <v>57.1</v>
      </c>
      <c r="S8" s="40">
        <f>'RZiS_P&amp;L'!S21</f>
        <v>37.7</v>
      </c>
      <c r="T8" s="40">
        <f>'RZiS_P&amp;L'!T21</f>
        <v>27.1</v>
      </c>
      <c r="U8" s="41">
        <f>'RZiS_P&amp;L'!U21</f>
        <v>50.5</v>
      </c>
      <c r="V8" s="39">
        <f>'RZiS_P&amp;L'!V21</f>
        <v>64.3</v>
      </c>
      <c r="W8" s="40">
        <f>'RZiS_P&amp;L'!W21</f>
        <v>131.2</v>
      </c>
      <c r="X8" s="40">
        <f>'RZiS_P&amp;L'!X21</f>
        <v>82.60000000000002</v>
      </c>
      <c r="Y8" s="40">
        <f>'RZiS_P&amp;L'!Y21</f>
        <v>84.7</v>
      </c>
      <c r="Z8" s="39">
        <f>'RZiS_P&amp;L'!Z21</f>
        <v>58</v>
      </c>
      <c r="AA8" s="40">
        <f>'RZiS_P&amp;L'!AA21</f>
        <v>69.1</v>
      </c>
      <c r="AB8" s="40">
        <f>'RZiS_P&amp;L'!AB21</f>
        <v>63.7</v>
      </c>
      <c r="AC8" s="41">
        <f>'RZiS_P&amp;L'!AC21</f>
        <v>76.39999999999999</v>
      </c>
      <c r="AD8" s="40">
        <f>'RZiS_P&amp;L'!AD21</f>
        <v>84.1</v>
      </c>
      <c r="AE8" s="40">
        <f>'RZiS_P&amp;L'!AE21</f>
        <v>33.3</v>
      </c>
      <c r="AF8" s="40">
        <f>'RZiS_P&amp;L'!AF21</f>
        <v>65.2</v>
      </c>
      <c r="AG8" s="40">
        <f>'RZiS_P&amp;L'!AG21</f>
        <v>85.1</v>
      </c>
      <c r="AH8" s="39">
        <f>'RZiS_P&amp;L'!AH21</f>
        <v>84.3</v>
      </c>
      <c r="AI8" s="40">
        <f>'RZiS_P&amp;L'!AI21</f>
        <v>64.3</v>
      </c>
      <c r="AJ8" s="40">
        <f>'RZiS_P&amp;L'!AJ21</f>
        <v>32</v>
      </c>
      <c r="AK8" s="40">
        <f>'RZiS_P&amp;L'!AK21</f>
        <v>51.5</v>
      </c>
      <c r="AL8" s="39">
        <f>'RZiS_P&amp;L'!AL21</f>
        <v>78.9</v>
      </c>
      <c r="AM8" s="40">
        <f>'RZiS_P&amp;L'!AM21</f>
        <v>33.5</v>
      </c>
      <c r="AN8" s="40">
        <f>'RZiS_P&amp;L'!AN21</f>
        <v>49.7</v>
      </c>
      <c r="AO8" s="41">
        <f>'RZiS_P&amp;L'!AO21</f>
        <v>138.5</v>
      </c>
      <c r="AP8" s="40">
        <f>'RZiS_P&amp;L'!AP21</f>
        <v>76.9</v>
      </c>
      <c r="AQ8" s="40">
        <f>'RZiS_P&amp;L'!AQ21</f>
        <v>123.6</v>
      </c>
    </row>
    <row r="9" spans="1:43" s="4" customFormat="1" ht="12.75">
      <c r="A9" s="42" t="s">
        <v>178</v>
      </c>
      <c r="B9" s="43">
        <f>'RZiS_P&amp;L'!B23</f>
        <v>209.40000000000006</v>
      </c>
      <c r="C9" s="44">
        <f>'RZiS_P&amp;L'!C23</f>
        <v>203.90000000000018</v>
      </c>
      <c r="D9" s="44">
        <f>'RZiS_P&amp;L'!D23</f>
        <v>249.79999999999995</v>
      </c>
      <c r="E9" s="45">
        <f>'RZiS_P&amp;L'!E23</f>
        <v>123.89999999999992</v>
      </c>
      <c r="F9" s="43">
        <f>'RZiS_P&amp;L'!F23</f>
        <v>214.3000000000001</v>
      </c>
      <c r="G9" s="44">
        <f>'RZiS_P&amp;L'!G23</f>
        <v>294.5999999999999</v>
      </c>
      <c r="H9" s="44">
        <f>'RZiS_P&amp;L'!H23</f>
        <v>205.30000000000007</v>
      </c>
      <c r="I9" s="45">
        <f>'RZiS_P&amp;L'!I23</f>
        <v>-151.19999999999996</v>
      </c>
      <c r="J9" s="43">
        <f>'RZiS_P&amp;L'!J23</f>
        <v>102.89999999999988</v>
      </c>
      <c r="K9" s="44">
        <f>'RZiS_P&amp;L'!K23</f>
        <v>228.7</v>
      </c>
      <c r="L9" s="44">
        <f>'RZiS_P&amp;L'!L23</f>
        <v>256.99999999999994</v>
      </c>
      <c r="M9" s="45">
        <f>'RZiS_P&amp;L'!M23</f>
        <v>149.6999999999999</v>
      </c>
      <c r="N9" s="43">
        <f>'RZiS_P&amp;L'!N23</f>
        <v>219.49999999999997</v>
      </c>
      <c r="O9" s="44">
        <f>'RZiS_P&amp;L'!O23</f>
        <v>236.20000000000002</v>
      </c>
      <c r="P9" s="44">
        <f>'RZiS_P&amp;L'!P23</f>
        <v>237.39999999999986</v>
      </c>
      <c r="Q9" s="45">
        <f>'RZiS_P&amp;L'!Q23</f>
        <v>240.99999999999997</v>
      </c>
      <c r="R9" s="43">
        <f>'RZiS_P&amp;L'!R23</f>
        <v>267.09999999999997</v>
      </c>
      <c r="S9" s="44">
        <f>'RZiS_P&amp;L'!S23</f>
        <v>289.99999999999994</v>
      </c>
      <c r="T9" s="44">
        <f>'RZiS_P&amp;L'!T23</f>
        <v>276.59999999999997</v>
      </c>
      <c r="U9" s="45">
        <f>'RZiS_P&amp;L'!U23</f>
        <v>283.90000000000003</v>
      </c>
      <c r="V9" s="43">
        <f>'RZiS_P&amp;L'!V23</f>
        <v>317.6000000000001</v>
      </c>
      <c r="W9" s="44">
        <f>'RZiS_P&amp;L'!W23</f>
        <v>207.29999999999995</v>
      </c>
      <c r="X9" s="44">
        <f>'RZiS_P&amp;L'!X23</f>
        <v>252.69999999999985</v>
      </c>
      <c r="Y9" s="44">
        <f>'RZiS_P&amp;L'!Y23</f>
        <v>238.50000000000003</v>
      </c>
      <c r="Z9" s="43">
        <f>'RZiS_P&amp;L'!Z23</f>
        <v>323.99999999999994</v>
      </c>
      <c r="AA9" s="44">
        <f>'RZiS_P&amp;L'!AA23</f>
        <v>267.99999999999994</v>
      </c>
      <c r="AB9" s="44">
        <f>'RZiS_P&amp;L'!AB23</f>
        <v>288.60000000000025</v>
      </c>
      <c r="AC9" s="45">
        <f>'RZiS_P&amp;L'!AC23</f>
        <v>312.3</v>
      </c>
      <c r="AD9" s="44">
        <f>'RZiS_P&amp;L'!AD23</f>
        <v>328.49999999999983</v>
      </c>
      <c r="AE9" s="44">
        <f>'RZiS_P&amp;L'!AE23</f>
        <v>383.90000000000003</v>
      </c>
      <c r="AF9" s="44">
        <f>'RZiS_P&amp;L'!AF23</f>
        <v>342.6000000000002</v>
      </c>
      <c r="AG9" s="44">
        <f>'RZiS_P&amp;L'!AG23</f>
        <v>292.4</v>
      </c>
      <c r="AH9" s="43">
        <f>'RZiS_P&amp;L'!AH23</f>
        <v>326.09999999999997</v>
      </c>
      <c r="AI9" s="44">
        <f>'RZiS_P&amp;L'!AI23</f>
        <v>414.8</v>
      </c>
      <c r="AJ9" s="44">
        <f>'RZiS_P&amp;L'!AJ23</f>
        <v>395.3</v>
      </c>
      <c r="AK9" s="44">
        <f>'RZiS_P&amp;L'!AK23</f>
        <v>254.10000000000002</v>
      </c>
      <c r="AL9" s="43">
        <f>'RZiS_P&amp;L'!AL23</f>
        <v>337.4</v>
      </c>
      <c r="AM9" s="44">
        <f>'RZiS_P&amp;L'!AM23</f>
        <v>524.9000000000001</v>
      </c>
      <c r="AN9" s="44">
        <f>'RZiS_P&amp;L'!AN23</f>
        <v>433.60000000000025</v>
      </c>
      <c r="AO9" s="45">
        <f>'RZiS_P&amp;L'!AO23</f>
        <v>348.59999999999997</v>
      </c>
      <c r="AP9" s="44">
        <f>'RZiS_P&amp;L'!AP23</f>
        <v>413.80000000000007</v>
      </c>
      <c r="AQ9" s="44">
        <f>'RZiS_P&amp;L'!AQ23</f>
        <v>476.0999999999997</v>
      </c>
    </row>
    <row r="10" spans="1:43" s="4" customFormat="1" ht="13.5">
      <c r="A10" s="38" t="s">
        <v>360</v>
      </c>
      <c r="B10" s="39">
        <f>'RZiS_P&amp;L'!B26</f>
        <v>167.40000000000006</v>
      </c>
      <c r="C10" s="40">
        <f>'RZiS_P&amp;L'!C26</f>
        <v>167.80000000000018</v>
      </c>
      <c r="D10" s="40">
        <f>'RZiS_P&amp;L'!D26</f>
        <v>197.99999999999994</v>
      </c>
      <c r="E10" s="41">
        <f>'RZiS_P&amp;L'!E26</f>
        <v>97.49999999999991</v>
      </c>
      <c r="F10" s="39">
        <f>'RZiS_P&amp;L'!F26</f>
        <v>173.8000000000001</v>
      </c>
      <c r="G10" s="40">
        <f>'RZiS_P&amp;L'!G26</f>
        <v>233.6999999999999</v>
      </c>
      <c r="H10" s="40">
        <f>'RZiS_P&amp;L'!H26</f>
        <v>166.90000000000006</v>
      </c>
      <c r="I10" s="41">
        <f>'RZiS_P&amp;L'!I26</f>
        <v>-128.99999999999997</v>
      </c>
      <c r="J10" s="39">
        <f>'RZiS_P&amp;L'!J26</f>
        <v>80.79999999999987</v>
      </c>
      <c r="K10" s="40">
        <f>'RZiS_P&amp;L'!K26</f>
        <v>182.7</v>
      </c>
      <c r="L10" s="40">
        <f>'RZiS_P&amp;L'!L26</f>
        <v>210.79999999999995</v>
      </c>
      <c r="M10" s="41">
        <f>'RZiS_P&amp;L'!M26</f>
        <v>120.7999999999999</v>
      </c>
      <c r="N10" s="39">
        <f>'RZiS_P&amp;L'!N26</f>
        <v>177.49999999999997</v>
      </c>
      <c r="O10" s="40">
        <f>'RZiS_P&amp;L'!O26</f>
        <v>191.5</v>
      </c>
      <c r="P10" s="40">
        <f>'RZiS_P&amp;L'!P26</f>
        <v>192.39999999999986</v>
      </c>
      <c r="Q10" s="41">
        <f>'RZiS_P&amp;L'!Q26</f>
        <v>191.7</v>
      </c>
      <c r="R10" s="39">
        <f>'RZiS_P&amp;L'!R26</f>
        <v>212.49999999999997</v>
      </c>
      <c r="S10" s="40">
        <f>'RZiS_P&amp;L'!S26</f>
        <v>233.89999999999995</v>
      </c>
      <c r="T10" s="40">
        <f>'RZiS_P&amp;L'!T26</f>
        <v>220.09999999999997</v>
      </c>
      <c r="U10" s="41">
        <f>'RZiS_P&amp;L'!U26</f>
        <v>213.60000000000002</v>
      </c>
      <c r="V10" s="39">
        <f>'RZiS_P&amp;L'!V26</f>
        <v>271.50000000000006</v>
      </c>
      <c r="W10" s="40">
        <f>'RZiS_P&amp;L'!W26</f>
        <v>167.59999999999997</v>
      </c>
      <c r="X10" s="40">
        <f>'RZiS_P&amp;L'!X26</f>
        <v>203.19999999999985</v>
      </c>
      <c r="Y10" s="40">
        <f>'RZiS_P&amp;L'!Y26</f>
        <v>190.00000000000003</v>
      </c>
      <c r="Z10" s="39">
        <f>'RZiS_P&amp;L'!Z26</f>
        <v>259.69999999999993</v>
      </c>
      <c r="AA10" s="40">
        <f>'RZiS_P&amp;L'!AA26</f>
        <v>216.89999999999995</v>
      </c>
      <c r="AB10" s="40">
        <f>'RZiS_P&amp;L'!AB26</f>
        <v>234.40000000000026</v>
      </c>
      <c r="AC10" s="41">
        <f>'RZiS_P&amp;L'!AC26</f>
        <v>250.5</v>
      </c>
      <c r="AD10" s="40">
        <f>'RZiS_P&amp;L'!AD26</f>
        <v>254.59999999999982</v>
      </c>
      <c r="AE10" s="40">
        <f>'RZiS_P&amp;L'!AE26</f>
        <v>282.3</v>
      </c>
      <c r="AF10" s="40">
        <f>'RZiS_P&amp;L'!AF26</f>
        <v>273.00000000000017</v>
      </c>
      <c r="AG10" s="40">
        <f>'RZiS_P&amp;L'!AG26</f>
        <v>230.79999999999998</v>
      </c>
      <c r="AH10" s="39">
        <f>'RZiS_P&amp;L'!AH26</f>
        <v>261</v>
      </c>
      <c r="AI10" s="40">
        <f>'RZiS_P&amp;L'!AI26</f>
        <v>344.6</v>
      </c>
      <c r="AJ10" s="40">
        <f>'RZiS_P&amp;L'!AJ26</f>
        <v>315.70000000000005</v>
      </c>
      <c r="AK10" s="40">
        <f>'RZiS_P&amp;L'!AK26</f>
        <v>205.70000000000002</v>
      </c>
      <c r="AL10" s="39">
        <f>'RZiS_P&amp;L'!AL26</f>
        <v>259.2</v>
      </c>
      <c r="AM10" s="40">
        <f>'RZiS_P&amp;L'!AM26</f>
        <v>406.9000000000001</v>
      </c>
      <c r="AN10" s="40">
        <f>'RZiS_P&amp;L'!AN26</f>
        <v>332.0000000000002</v>
      </c>
      <c r="AO10" s="41">
        <f>'RZiS_P&amp;L'!AO26</f>
        <v>254.89999999999998</v>
      </c>
      <c r="AP10" s="40">
        <f>'RZiS_P&amp;L'!AP26</f>
        <v>300.20000000000005</v>
      </c>
      <c r="AQ10" s="40">
        <f>'RZiS_P&amp;L'!AQ26</f>
        <v>360.3999999999997</v>
      </c>
    </row>
    <row r="11" spans="1:43" s="9" customFormat="1" ht="12.75">
      <c r="A11" s="37"/>
      <c r="B11" s="46"/>
      <c r="C11" s="47"/>
      <c r="D11" s="47"/>
      <c r="E11" s="48"/>
      <c r="F11" s="47"/>
      <c r="G11" s="47"/>
      <c r="H11" s="47"/>
      <c r="I11" s="47"/>
      <c r="J11" s="46"/>
      <c r="K11" s="47"/>
      <c r="L11" s="47"/>
      <c r="M11" s="48"/>
      <c r="N11" s="47"/>
      <c r="O11" s="47"/>
      <c r="P11" s="47"/>
      <c r="Q11" s="47"/>
      <c r="R11" s="46"/>
      <c r="S11" s="47"/>
      <c r="T11" s="47"/>
      <c r="U11" s="48"/>
      <c r="V11" s="46"/>
      <c r="W11" s="47"/>
      <c r="X11" s="47"/>
      <c r="Y11" s="47"/>
      <c r="Z11" s="46"/>
      <c r="AA11" s="47"/>
      <c r="AB11" s="47"/>
      <c r="AC11" s="48"/>
      <c r="AD11" s="47"/>
      <c r="AE11" s="47"/>
      <c r="AF11" s="47"/>
      <c r="AG11" s="47"/>
      <c r="AH11" s="46"/>
      <c r="AI11" s="47"/>
      <c r="AJ11" s="47"/>
      <c r="AK11" s="47"/>
      <c r="AL11" s="46"/>
      <c r="AM11" s="47"/>
      <c r="AN11" s="47"/>
      <c r="AO11" s="48"/>
      <c r="AP11" s="47"/>
      <c r="AQ11" s="47"/>
    </row>
    <row r="12" spans="1:43" s="9" customFormat="1" ht="12.75">
      <c r="A12" s="37" t="s">
        <v>187</v>
      </c>
      <c r="B12" s="49"/>
      <c r="C12" s="50"/>
      <c r="D12" s="50"/>
      <c r="E12" s="51"/>
      <c r="F12" s="50"/>
      <c r="G12" s="50"/>
      <c r="H12" s="50"/>
      <c r="I12" s="50"/>
      <c r="J12" s="49"/>
      <c r="K12" s="50"/>
      <c r="L12" s="50"/>
      <c r="M12" s="51"/>
      <c r="N12" s="50"/>
      <c r="O12" s="50"/>
      <c r="P12" s="50"/>
      <c r="Q12" s="50"/>
      <c r="R12" s="49"/>
      <c r="S12" s="50"/>
      <c r="T12" s="50"/>
      <c r="U12" s="51"/>
      <c r="V12" s="49"/>
      <c r="W12" s="50"/>
      <c r="X12" s="50"/>
      <c r="Y12" s="50"/>
      <c r="Z12" s="49"/>
      <c r="AA12" s="50"/>
      <c r="AB12" s="50"/>
      <c r="AC12" s="51"/>
      <c r="AD12" s="50"/>
      <c r="AE12" s="50"/>
      <c r="AF12" s="50"/>
      <c r="AG12" s="50"/>
      <c r="AH12" s="49"/>
      <c r="AI12" s="50"/>
      <c r="AJ12" s="50"/>
      <c r="AK12" s="50"/>
      <c r="AL12" s="49"/>
      <c r="AM12" s="50"/>
      <c r="AN12" s="50"/>
      <c r="AO12" s="51"/>
      <c r="AP12" s="50"/>
      <c r="AQ12" s="50"/>
    </row>
    <row r="13" spans="1:43" s="4" customFormat="1" ht="12.75">
      <c r="A13" s="52" t="s">
        <v>186</v>
      </c>
      <c r="B13" s="53">
        <v>56616.9</v>
      </c>
      <c r="C13" s="54">
        <v>53203.1</v>
      </c>
      <c r="D13" s="54">
        <v>53246.6</v>
      </c>
      <c r="E13" s="54">
        <v>52010.799999999996</v>
      </c>
      <c r="F13" s="53">
        <v>60234.40000000001</v>
      </c>
      <c r="G13" s="54">
        <v>60513.2</v>
      </c>
      <c r="H13" s="54">
        <v>65262.59999999999</v>
      </c>
      <c r="I13" s="55">
        <v>69610.5</v>
      </c>
      <c r="J13" s="53">
        <v>68205.8</v>
      </c>
      <c r="K13" s="54">
        <v>64516.5</v>
      </c>
      <c r="L13" s="54">
        <v>64256.4</v>
      </c>
      <c r="M13" s="55">
        <v>59883.399999999994</v>
      </c>
      <c r="N13" s="53">
        <v>62099.1</v>
      </c>
      <c r="O13" s="54">
        <v>61583</v>
      </c>
      <c r="P13" s="54">
        <v>62165.50000000001</v>
      </c>
      <c r="Q13" s="55">
        <v>64517.5</v>
      </c>
      <c r="R13" s="53">
        <v>65839.8</v>
      </c>
      <c r="S13" s="54">
        <v>67500.9</v>
      </c>
      <c r="T13" s="54">
        <v>73696.09999999999</v>
      </c>
      <c r="U13" s="55">
        <v>69723.4</v>
      </c>
      <c r="V13" s="53">
        <v>72263.09999999999</v>
      </c>
      <c r="W13" s="54">
        <v>70260.1</v>
      </c>
      <c r="X13" s="54">
        <f>Bilans_BS!X26</f>
        <v>73637.8</v>
      </c>
      <c r="Y13" s="54">
        <f>Bilans_BS!Y26</f>
        <v>78266.79999999999</v>
      </c>
      <c r="Z13" s="53">
        <f>Bilans_BS!Z26</f>
        <v>77753.80000000003</v>
      </c>
      <c r="AA13" s="54">
        <f>Bilans_BS!AA26</f>
        <v>81790.60000000002</v>
      </c>
      <c r="AB13" s="54">
        <f>Bilans_BS!AB26</f>
        <v>84639.49999999999</v>
      </c>
      <c r="AC13" s="55">
        <f>Bilans_BS!AC26</f>
        <v>86750.6</v>
      </c>
      <c r="AD13" s="54">
        <f>Bilans_BS!AD26</f>
        <v>92244.69999999998</v>
      </c>
      <c r="AE13" s="54">
        <f>Bilans_BS!AE26</f>
        <v>98261.79999999997</v>
      </c>
      <c r="AF13" s="54">
        <f>Bilans_BS!AF26</f>
        <v>96848.5</v>
      </c>
      <c r="AG13" s="54">
        <f>Bilans_BS!AG26</f>
        <v>99860.70000000001</v>
      </c>
      <c r="AH13" s="53">
        <f>Bilans_BS!AH26</f>
        <v>102568.3</v>
      </c>
      <c r="AI13" s="54">
        <f>Bilans_BS!AI26</f>
        <v>105318.89999999998</v>
      </c>
      <c r="AJ13" s="54">
        <f>Bilans_BS!AJ26</f>
        <v>112180.70000000003</v>
      </c>
      <c r="AK13" s="54">
        <f>Bilans_BS!AK26</f>
        <v>108893.09999999999</v>
      </c>
      <c r="AL13" s="53">
        <f>Bilans_BS!AL26</f>
        <v>112732.7</v>
      </c>
      <c r="AM13" s="54">
        <f>Bilans_BS!AM26</f>
        <v>115639.7</v>
      </c>
      <c r="AN13" s="54">
        <f>Bilans_BS!AN26</f>
        <v>116549.99999999999</v>
      </c>
      <c r="AO13" s="55">
        <f>Bilans_BS!AO26</f>
        <v>117477.7</v>
      </c>
      <c r="AP13" s="54">
        <f>Bilans_BS!AP26</f>
        <v>118850.5</v>
      </c>
      <c r="AQ13" s="54">
        <f>Bilans_BS!AQ26</f>
        <v>120197.6</v>
      </c>
    </row>
    <row r="14" spans="1:43" s="7" customFormat="1" ht="13.5">
      <c r="A14" s="38" t="s">
        <v>361</v>
      </c>
      <c r="B14" s="40">
        <f>Bilans_BS!B14-Kredyty_loans!B11-Kredyty_loans!B21</f>
        <v>13782.6</v>
      </c>
      <c r="C14" s="40">
        <f>Bilans_BS!C14-Kredyty_loans!C11-Kredyty_loans!C21</f>
        <v>14567.2</v>
      </c>
      <c r="D14" s="40">
        <f>Bilans_BS!D14-Kredyty_loans!D11-Kredyty_loans!D21</f>
        <v>15449.4</v>
      </c>
      <c r="E14" s="40">
        <f>Bilans_BS!E14-Kredyty_loans!E11-Kredyty_loans!E21</f>
        <v>16379.1</v>
      </c>
      <c r="F14" s="40">
        <f>Bilans_BS!F14-Kredyty_loans!F11-Kredyty_loans!F21</f>
        <v>18039.9</v>
      </c>
      <c r="G14" s="40">
        <f>Bilans_BS!G14-Kredyty_loans!G11-Kredyty_loans!G21</f>
        <v>19569.4</v>
      </c>
      <c r="H14" s="40">
        <f>Bilans_BS!H14-Kredyty_loans!H11-Kredyty_loans!H21</f>
        <v>21915.8</v>
      </c>
      <c r="I14" s="40">
        <f>Bilans_BS!I14-Kredyty_loans!I11-Kredyty_loans!I21</f>
        <v>23930.7</v>
      </c>
      <c r="J14" s="40">
        <f>Bilans_BS!J14-Kredyty_loans!J11-Kredyty_loans!J21</f>
        <v>25096.1</v>
      </c>
      <c r="K14" s="40">
        <f>Bilans_BS!K14-Kredyty_loans!K11-Kredyty_loans!K21</f>
        <v>25174.8</v>
      </c>
      <c r="L14" s="40">
        <f>Bilans_BS!L14-Kredyty_loans!L11-Kredyty_loans!L21</f>
        <v>25486.3</v>
      </c>
      <c r="M14" s="40">
        <f>Bilans_BS!M14-Kredyty_loans!M11-Kredyty_loans!M21</f>
        <v>26704.199999999997</v>
      </c>
      <c r="N14" s="40">
        <f>Bilans_BS!N14-Kredyty_loans!N11-Kredyty_loans!N21</f>
        <v>26825.399999999998</v>
      </c>
      <c r="O14" s="40">
        <f>Bilans_BS!O14-Kredyty_loans!O11-Kredyty_loans!O21</f>
        <v>28205.4</v>
      </c>
      <c r="P14" s="40">
        <f>Bilans_BS!P14-Kredyty_loans!P11-Kredyty_loans!P21</f>
        <v>29804.699999999997</v>
      </c>
      <c r="Q14" s="40">
        <f>Bilans_BS!Q14-Kredyty_loans!Q11-Kredyty_loans!Q21</f>
        <v>31240.5</v>
      </c>
      <c r="R14" s="40">
        <f>Bilans_BS!R14-Kredyty_loans!R11-Kredyty_loans!R21</f>
        <v>32077.300000000003</v>
      </c>
      <c r="S14" s="40">
        <f>Bilans_BS!S14-Kredyty_loans!S11-Kredyty_loans!S21</f>
        <v>33825.100000000006</v>
      </c>
      <c r="T14" s="40">
        <f>Bilans_BS!T14-Kredyty_loans!T11-Kredyty_loans!T21</f>
        <v>35913.4</v>
      </c>
      <c r="U14" s="40">
        <f>Bilans_BS!U14-Kredyty_loans!U11-Kredyty_loans!U21</f>
        <v>38457.1</v>
      </c>
      <c r="V14" s="40">
        <f>Bilans_BS!V14-Kredyty_loans!V11-Kredyty_loans!V21</f>
        <v>44036.6</v>
      </c>
      <c r="W14" s="40">
        <f>Bilans_BS!W14-Kredyty_loans!W11-Kredyty_loans!W21</f>
        <v>44732.4</v>
      </c>
      <c r="X14" s="40">
        <f>Bilans_BS!X14-Kredyty_loans!X11-Kredyty_loans!X21</f>
        <v>45542.6</v>
      </c>
      <c r="Y14" s="40">
        <f>Bilans_BS!Y14-Kredyty_loans!Y11-Kredyty_loans!Y21</f>
        <v>45205.6</v>
      </c>
      <c r="Z14" s="39">
        <f>Bilans_BS!Z14-Kredyty_loans!Z11-Kredyty_loans!Z21</f>
        <v>45301.60000000001</v>
      </c>
      <c r="AA14" s="40">
        <f>Bilans_BS!AA14-Kredyty_loans!AA11-Kredyty_loans!AA21</f>
        <v>46678.3</v>
      </c>
      <c r="AB14" s="40">
        <f>Bilans_BS!AB14-Kredyty_loans!AB11-Kredyty_loans!AB21</f>
        <v>48382.2</v>
      </c>
      <c r="AC14" s="55">
        <f>Bilans_BS!AC14-Kredyty_loans!AC11-Kredyty_loans!AC21</f>
        <v>48552.49999999999</v>
      </c>
      <c r="AD14" s="40">
        <f>Bilans_BS!AD14-Kredyty_loans!AD11-Kredyty_loans!AD21</f>
        <v>50847.3</v>
      </c>
      <c r="AE14" s="40">
        <f>Bilans_BS!AE14-Kredyty_loans!AE11-Kredyty_loans!AE21</f>
        <v>53595.89999999999</v>
      </c>
      <c r="AF14" s="40">
        <f>Bilans_BS!AF14-Kredyty_loans!AF11-Kredyty_loans!AF21</f>
        <v>56418.9</v>
      </c>
      <c r="AG14" s="54">
        <f>Bilans_BS!AG14-Kredyty_loans!AG11-Kredyty_loans!AG21</f>
        <v>57131.4</v>
      </c>
      <c r="AH14" s="40">
        <f>Bilans_BS!AH14-Kredyty_loans!AH11-Kredyty_loans!AH21</f>
        <v>59648.8</v>
      </c>
      <c r="AI14" s="40">
        <f>Bilans_BS!AI14-Kredyty_loans!AI11-Kredyty_loans!AI21</f>
        <v>64416.4</v>
      </c>
      <c r="AJ14" s="40">
        <f>Bilans_BS!AJ14-Kredyty_loans!AJ11-Kredyty_loans!AJ21</f>
        <v>67632.09999999999</v>
      </c>
      <c r="AK14" s="54">
        <f>Bilans_BS!AK14-Kredyty_loans!AK11-Kredyty_loans!AK21</f>
        <v>68681.5</v>
      </c>
      <c r="AL14" s="39">
        <f>Bilans_BS!AL14-Kredyty_loans!AL11-Kredyty_loans!AL21</f>
        <v>71477.3</v>
      </c>
      <c r="AM14" s="40">
        <f>Bilans_BS!AM14-Kredyty_loans!AM11-Kredyty_loans!AM21</f>
        <v>74399.59999999999</v>
      </c>
      <c r="AN14" s="40">
        <f>Bilans_BS!AN14-Kredyty_loans!AN11-Kredyty_loans!AN21</f>
        <v>76555.4</v>
      </c>
      <c r="AO14" s="55">
        <f>Bilans_BS!AO14-Kredyty_loans!AO11-Kredyty_loans!AO21</f>
        <v>78069.5</v>
      </c>
      <c r="AP14" s="40">
        <f>Bilans_BS!AP14-Kredyty_loans!AP11-Kredyty_loans!AP21</f>
        <v>80693.8</v>
      </c>
      <c r="AQ14" s="40">
        <f>Bilans_BS!AQ14-Kredyty_loans!AQ11-Kredyty_loans!AQ21</f>
        <v>83313.2</v>
      </c>
    </row>
    <row r="15" spans="1:43" s="7" customFormat="1" ht="12.75">
      <c r="A15" s="56" t="s">
        <v>189</v>
      </c>
      <c r="B15" s="57">
        <v>13453.900000000001</v>
      </c>
      <c r="C15" s="58">
        <v>14236.900000000001</v>
      </c>
      <c r="D15" s="58">
        <v>15148.799999999997</v>
      </c>
      <c r="E15" s="58">
        <v>16105.499999999998</v>
      </c>
      <c r="F15" s="57">
        <v>17758.9</v>
      </c>
      <c r="G15" s="58">
        <v>19270.100000000002</v>
      </c>
      <c r="H15" s="58">
        <v>21508.600000000002</v>
      </c>
      <c r="I15" s="59">
        <v>22999.3</v>
      </c>
      <c r="J15" s="57">
        <v>24044.800000000003</v>
      </c>
      <c r="K15" s="58">
        <v>24150.8</v>
      </c>
      <c r="L15" s="58">
        <v>24620.8</v>
      </c>
      <c r="M15" s="59">
        <v>25672.199999999997</v>
      </c>
      <c r="N15" s="57">
        <v>25854.600000000002</v>
      </c>
      <c r="O15" s="58">
        <v>27146.7</v>
      </c>
      <c r="P15" s="58">
        <v>28447</v>
      </c>
      <c r="Q15" s="59">
        <v>29797.6</v>
      </c>
      <c r="R15" s="57">
        <v>30639.1</v>
      </c>
      <c r="S15" s="58">
        <v>32353.4</v>
      </c>
      <c r="T15" s="58">
        <v>34102.799999999996</v>
      </c>
      <c r="U15" s="59">
        <v>35998</v>
      </c>
      <c r="V15" s="57">
        <v>36868.9</v>
      </c>
      <c r="W15" s="58">
        <v>37493.899999999994</v>
      </c>
      <c r="X15" s="58">
        <f>Kredyty_loans!X6+Kredyty_loans!X16</f>
        <v>38132.9</v>
      </c>
      <c r="Y15" s="58">
        <f>Kredyty_loans!Y6+Kredyty_loans!Y16</f>
        <v>37611.19999999999</v>
      </c>
      <c r="Z15" s="57">
        <f>Kredyty_loans!Z6+Kredyty_loans!Z16</f>
        <v>38282.1</v>
      </c>
      <c r="AA15" s="58">
        <f>Kredyty_loans!AA6+Kredyty_loans!AA16</f>
        <v>39094.50000000001</v>
      </c>
      <c r="AB15" s="58">
        <f>Kredyty_loans!AB6+Kredyty_loans!AB16</f>
        <v>40337.399999999994</v>
      </c>
      <c r="AC15" s="59">
        <f>Kredyty_loans!AC6+Kredyty_loans!AC16</f>
        <v>40208.8</v>
      </c>
      <c r="AD15" s="58">
        <f>Kredyty_loans!AD6+Kredyty_loans!AD16</f>
        <v>42345.600000000006</v>
      </c>
      <c r="AE15" s="58">
        <f>Kredyty_loans!AE6+Kredyty_loans!AE16</f>
        <v>44454.100000000006</v>
      </c>
      <c r="AF15" s="58">
        <f>Kredyty_loans!AF6+Kredyty_loans!AF16</f>
        <v>46077.8</v>
      </c>
      <c r="AG15" s="58">
        <f>Kredyty_loans!AG6+Kredyty_loans!AG16</f>
        <v>47112.5</v>
      </c>
      <c r="AH15" s="57">
        <f>Kredyty_loans!AH6+Kredyty_loans!AH16</f>
        <v>49882.399999999994</v>
      </c>
      <c r="AI15" s="58">
        <f>Kredyty_loans!AI6+Kredyty_loans!AI16</f>
        <v>54064.9</v>
      </c>
      <c r="AJ15" s="58">
        <f>Kredyty_loans!AJ6+Kredyty_loans!AJ16</f>
        <v>56682.1</v>
      </c>
      <c r="AK15" s="58">
        <f>Kredyty_loans!AK6+Kredyty_loans!AK16</f>
        <v>57173.100000000006</v>
      </c>
      <c r="AL15" s="57">
        <f>Kredyty_loans!AL6+Kredyty_loans!AL16</f>
        <v>60126.7</v>
      </c>
      <c r="AM15" s="58">
        <f>Kredyty_loans!AM6+Kredyty_loans!AM16</f>
        <v>62333.6</v>
      </c>
      <c r="AN15" s="58">
        <f>Kredyty_loans!AN6+Kredyty_loans!AN16</f>
        <v>64101.9</v>
      </c>
      <c r="AO15" s="59">
        <f>Kredyty_loans!AO6+Kredyty_loans!AO16</f>
        <v>65407.2</v>
      </c>
      <c r="AP15" s="58">
        <f>Kredyty_loans!AP6+Kredyty_loans!AP16</f>
        <v>67883.29999999999</v>
      </c>
      <c r="AQ15" s="58">
        <f>Kredyty_loans!AQ6+Kredyty_loans!AQ16</f>
        <v>70233.50000000001</v>
      </c>
    </row>
    <row r="16" spans="1:43" s="7" customFormat="1" ht="12.75">
      <c r="A16" s="56" t="s">
        <v>190</v>
      </c>
      <c r="B16" s="57">
        <v>0</v>
      </c>
      <c r="C16" s="58">
        <v>0</v>
      </c>
      <c r="D16" s="58">
        <v>0</v>
      </c>
      <c r="E16" s="58">
        <v>0</v>
      </c>
      <c r="F16" s="57">
        <v>0</v>
      </c>
      <c r="G16" s="58">
        <v>0</v>
      </c>
      <c r="H16" s="58">
        <v>0</v>
      </c>
      <c r="I16" s="59">
        <v>0</v>
      </c>
      <c r="J16" s="57">
        <v>0</v>
      </c>
      <c r="K16" s="58">
        <v>0</v>
      </c>
      <c r="L16" s="58">
        <v>0</v>
      </c>
      <c r="M16" s="59">
        <v>0</v>
      </c>
      <c r="N16" s="57">
        <v>0</v>
      </c>
      <c r="O16" s="58">
        <v>0</v>
      </c>
      <c r="P16" s="58">
        <v>0</v>
      </c>
      <c r="Q16" s="59">
        <v>0</v>
      </c>
      <c r="R16" s="57">
        <v>0</v>
      </c>
      <c r="S16" s="58">
        <v>0</v>
      </c>
      <c r="T16" s="58">
        <v>0</v>
      </c>
      <c r="U16" s="59">
        <v>0</v>
      </c>
      <c r="V16" s="57">
        <v>3045.6000000000004</v>
      </c>
      <c r="W16" s="58">
        <v>3084.3999999999996</v>
      </c>
      <c r="X16" s="58">
        <f>Kredyty_loans!X7+Kredyty_loans!X17</f>
        <v>3067.2</v>
      </c>
      <c r="Y16" s="58">
        <f>Kredyty_loans!Y7+Kredyty_loans!Y17</f>
        <v>3164.5</v>
      </c>
      <c r="Z16" s="57">
        <f>Kredyty_loans!Z7+Kredyty_loans!Z17</f>
        <v>3188.4</v>
      </c>
      <c r="AA16" s="58">
        <f>Kredyty_loans!AA7+Kredyty_loans!AA17</f>
        <v>3322.4</v>
      </c>
      <c r="AB16" s="58">
        <f>Kredyty_loans!AB7+Kredyty_loans!AB17</f>
        <v>3472.2</v>
      </c>
      <c r="AC16" s="59">
        <f>Kredyty_loans!AC7+Kredyty_loans!AC17</f>
        <v>3590.8</v>
      </c>
      <c r="AD16" s="58">
        <f>Kredyty_loans!AD7+Kredyty_loans!AD17</f>
        <v>3774.3</v>
      </c>
      <c r="AE16" s="58">
        <f>Kredyty_loans!AE7+Kredyty_loans!AE17</f>
        <v>4162.099999999999</v>
      </c>
      <c r="AF16" s="58">
        <f>Kredyty_loans!AF7+Kredyty_loans!AF17</f>
        <v>4244.1</v>
      </c>
      <c r="AG16" s="58">
        <f>Kredyty_loans!AG7+Kredyty_loans!AG17</f>
        <v>4335.6</v>
      </c>
      <c r="AH16" s="57">
        <f>Kredyty_loans!AH7+Kredyty_loans!AH17</f>
        <v>4301.200000000001</v>
      </c>
      <c r="AI16" s="58">
        <f>Kredyty_loans!AI7+Kredyty_loans!AI17</f>
        <v>4611.6</v>
      </c>
      <c r="AJ16" s="58">
        <f>Kredyty_loans!AJ7+Kredyty_loans!AJ17</f>
        <v>4789.6</v>
      </c>
      <c r="AK16" s="58">
        <f>Kredyty_loans!AK7+Kredyty_loans!AK17</f>
        <v>4882.7</v>
      </c>
      <c r="AL16" s="57">
        <f>Kredyty_loans!AL7+Kredyty_loans!AL17</f>
        <v>5023.299999999999</v>
      </c>
      <c r="AM16" s="58">
        <f>Kredyty_loans!AM7+Kredyty_loans!AM17</f>
        <v>5444.099999999999</v>
      </c>
      <c r="AN16" s="58">
        <f>Kredyty_loans!AN7+Kredyty_loans!AN17</f>
        <v>5509.3</v>
      </c>
      <c r="AO16" s="59">
        <f>Kredyty_loans!AO7+Kredyty_loans!AO17</f>
        <v>5710.1</v>
      </c>
      <c r="AP16" s="58">
        <f>Kredyty_loans!AP7+Kredyty_loans!AP17</f>
        <v>5773.3</v>
      </c>
      <c r="AQ16" s="58">
        <f>Kredyty_loans!AQ7+Kredyty_loans!AQ17</f>
        <v>6097.599999999999</v>
      </c>
    </row>
    <row r="17" spans="1:43" s="7" customFormat="1" ht="12.75">
      <c r="A17" s="56" t="s">
        <v>191</v>
      </c>
      <c r="B17" s="57">
        <v>148.70000000000002</v>
      </c>
      <c r="C17" s="58">
        <v>148.10000000000002</v>
      </c>
      <c r="D17" s="58">
        <v>125.5</v>
      </c>
      <c r="E17" s="58">
        <v>128.6</v>
      </c>
      <c r="F17" s="57">
        <v>130.5</v>
      </c>
      <c r="G17" s="58">
        <v>136</v>
      </c>
      <c r="H17" s="58">
        <v>178.20000000000002</v>
      </c>
      <c r="I17" s="59">
        <v>164.6</v>
      </c>
      <c r="J17" s="57">
        <v>270.09999999999997</v>
      </c>
      <c r="K17" s="58">
        <v>252.7</v>
      </c>
      <c r="L17" s="58">
        <v>175.6</v>
      </c>
      <c r="M17" s="59">
        <v>173.1</v>
      </c>
      <c r="N17" s="57">
        <v>142.40000000000003</v>
      </c>
      <c r="O17" s="58">
        <v>171.1</v>
      </c>
      <c r="P17" s="58">
        <v>165</v>
      </c>
      <c r="Q17" s="59">
        <v>122.70000000000002</v>
      </c>
      <c r="R17" s="57">
        <v>108.4</v>
      </c>
      <c r="S17" s="58">
        <v>196.29999999999998</v>
      </c>
      <c r="T17" s="58">
        <v>279.90000000000003</v>
      </c>
      <c r="U17" s="59">
        <v>272.40000000000003</v>
      </c>
      <c r="V17" s="57">
        <v>1852.5</v>
      </c>
      <c r="W17" s="58">
        <v>2094.2000000000003</v>
      </c>
      <c r="X17" s="58">
        <f>Kredyty_loans!X8+Kredyty_loans!X18</f>
        <v>2022.6000000000001</v>
      </c>
      <c r="Y17" s="58">
        <f>Kredyty_loans!Y8+Kredyty_loans!Y18</f>
        <v>2202.7</v>
      </c>
      <c r="Z17" s="57">
        <f>Kredyty_loans!Z8+Kredyty_loans!Z18</f>
        <v>1958.3</v>
      </c>
      <c r="AA17" s="58">
        <f>Kredyty_loans!AA8+Kredyty_loans!AA18</f>
        <v>2223.0000000000005</v>
      </c>
      <c r="AB17" s="58">
        <f>Kredyty_loans!AB8+Kredyty_loans!AB18</f>
        <v>2442.7999999999993</v>
      </c>
      <c r="AC17" s="59">
        <f>Kredyty_loans!AC8+Kredyty_loans!AC18</f>
        <v>2453.7999999999997</v>
      </c>
      <c r="AD17" s="58">
        <f>Kredyty_loans!AD8+Kredyty_loans!AD18</f>
        <v>2361.2</v>
      </c>
      <c r="AE17" s="58">
        <f>Kredyty_loans!AE8+Kredyty_loans!AE18</f>
        <v>2621.0000000000005</v>
      </c>
      <c r="AF17" s="58">
        <f>Kredyty_loans!AF8+Kredyty_loans!AF18</f>
        <v>2868.7</v>
      </c>
      <c r="AG17" s="58">
        <f>Kredyty_loans!AG8+Kredyty_loans!AG18</f>
        <v>2816.5</v>
      </c>
      <c r="AH17" s="57">
        <f>Kredyty_loans!AH8+Kredyty_loans!AH18</f>
        <v>2567.6000000000004</v>
      </c>
      <c r="AI17" s="58">
        <f>Kredyty_loans!AI8+Kredyty_loans!AI18</f>
        <v>2822.4000000000005</v>
      </c>
      <c r="AJ17" s="58">
        <f>Kredyty_loans!AJ8+Kredyty_loans!AJ18</f>
        <v>3139.4</v>
      </c>
      <c r="AK17" s="58">
        <f>Kredyty_loans!AK8+Kredyty_loans!AK18</f>
        <v>3389.7</v>
      </c>
      <c r="AL17" s="57">
        <f>Kredyty_loans!AL8+Kredyty_loans!AL18</f>
        <v>3396.8</v>
      </c>
      <c r="AM17" s="58">
        <f>Kredyty_loans!AM8+Kredyty_loans!AM18</f>
        <v>4027.5</v>
      </c>
      <c r="AN17" s="58">
        <f>Kredyty_loans!AN8+Kredyty_loans!AN18</f>
        <v>4264.7</v>
      </c>
      <c r="AO17" s="59">
        <f>Kredyty_loans!AO8+Kredyty_loans!AO18</f>
        <v>4350.8</v>
      </c>
      <c r="AP17" s="58">
        <f>Kredyty_loans!AP8+Kredyty_loans!AP18</f>
        <v>4513.799999999999</v>
      </c>
      <c r="AQ17" s="58">
        <f>Kredyty_loans!AQ8+Kredyty_loans!AQ18</f>
        <v>4623.099999999999</v>
      </c>
    </row>
    <row r="18" spans="1:43" s="9" customFormat="1" ht="12.75">
      <c r="A18" s="38" t="s">
        <v>155</v>
      </c>
      <c r="B18" s="39">
        <v>40774.6</v>
      </c>
      <c r="C18" s="40">
        <v>40253.4</v>
      </c>
      <c r="D18" s="40">
        <v>40658.1</v>
      </c>
      <c r="E18" s="40">
        <v>44501.8</v>
      </c>
      <c r="F18" s="39">
        <v>45311.8</v>
      </c>
      <c r="G18" s="40">
        <v>47591</v>
      </c>
      <c r="H18" s="40">
        <v>51269</v>
      </c>
      <c r="I18" s="41">
        <v>47066.9</v>
      </c>
      <c r="J18" s="39">
        <v>46461.8</v>
      </c>
      <c r="K18" s="40">
        <v>45732.4</v>
      </c>
      <c r="L18" s="40">
        <v>46480.8</v>
      </c>
      <c r="M18" s="41">
        <v>47584.7</v>
      </c>
      <c r="N18" s="39">
        <v>46184.2</v>
      </c>
      <c r="O18" s="40">
        <v>45954.2</v>
      </c>
      <c r="P18" s="40">
        <v>47667.9</v>
      </c>
      <c r="Q18" s="41">
        <v>47400.1</v>
      </c>
      <c r="R18" s="39">
        <v>46462</v>
      </c>
      <c r="S18" s="40">
        <v>48286.1</v>
      </c>
      <c r="T18" s="40">
        <v>50758.7</v>
      </c>
      <c r="U18" s="41">
        <v>52932.09999999999</v>
      </c>
      <c r="V18" s="39">
        <v>52439.899999999994</v>
      </c>
      <c r="W18" s="40">
        <v>54157.00000000001</v>
      </c>
      <c r="X18" s="40">
        <f>Bilans_BS!X35</f>
        <v>54891.7</v>
      </c>
      <c r="Y18" s="40">
        <f>Bilans_BS!Y35</f>
        <v>57898.399999999994</v>
      </c>
      <c r="Z18" s="39">
        <f>Bilans_BS!Z35</f>
        <v>58126.799999999996</v>
      </c>
      <c r="AA18" s="40">
        <f>Bilans_BS!AA35</f>
        <v>62220.600000000006</v>
      </c>
      <c r="AB18" s="40">
        <f>Bilans_BS!AB35</f>
        <v>66397.9</v>
      </c>
      <c r="AC18" s="41">
        <f>Bilans_BS!AC35</f>
        <v>67547.9</v>
      </c>
      <c r="AD18" s="40">
        <f>Bilans_BS!AD35</f>
        <v>67025.90000000001</v>
      </c>
      <c r="AE18" s="40">
        <f>Bilans_BS!AE35</f>
        <v>69689.2</v>
      </c>
      <c r="AF18" s="40">
        <f>Bilans_BS!AF35</f>
        <v>71698.50000000001</v>
      </c>
      <c r="AG18" s="40">
        <f>Bilans_BS!AG35</f>
        <v>75658.9</v>
      </c>
      <c r="AH18" s="39">
        <f>Bilans_BS!AH35</f>
        <v>77606.70000000001</v>
      </c>
      <c r="AI18" s="40">
        <f>Bilans_BS!AI35</f>
        <v>80750.59999999999</v>
      </c>
      <c r="AJ18" s="40">
        <f>Bilans_BS!AJ35</f>
        <v>83825.9</v>
      </c>
      <c r="AK18" s="40">
        <f>Bilans_BS!AK35</f>
        <v>87818.5</v>
      </c>
      <c r="AL18" s="39">
        <f>Bilans_BS!AL35</f>
        <v>90403</v>
      </c>
      <c r="AM18" s="40">
        <f>Bilans_BS!AM35</f>
        <v>93483.3</v>
      </c>
      <c r="AN18" s="40">
        <f>Bilans_BS!AN35</f>
        <v>92304.6</v>
      </c>
      <c r="AO18" s="41">
        <f>Bilans_BS!AO35</f>
        <v>95825.4</v>
      </c>
      <c r="AP18" s="40">
        <f>Bilans_BS!AP35</f>
        <v>96620.7</v>
      </c>
      <c r="AQ18" s="40">
        <f>Bilans_BS!AQ35</f>
        <v>97708.8</v>
      </c>
    </row>
    <row r="19" spans="1:43" s="9" customFormat="1" ht="13.5">
      <c r="A19" s="38" t="s">
        <v>362</v>
      </c>
      <c r="B19" s="39">
        <v>3902.2999999999993</v>
      </c>
      <c r="C19" s="40">
        <v>3622</v>
      </c>
      <c r="D19" s="40">
        <v>3820.3999999999996</v>
      </c>
      <c r="E19" s="40">
        <v>3838.7999999999997</v>
      </c>
      <c r="F19" s="39">
        <v>4013.7</v>
      </c>
      <c r="G19" s="40">
        <v>3977.5999999999995</v>
      </c>
      <c r="H19" s="40">
        <v>4277.9</v>
      </c>
      <c r="I19" s="41">
        <v>4222.2</v>
      </c>
      <c r="J19" s="39">
        <v>4280.9</v>
      </c>
      <c r="K19" s="40">
        <v>4514.6</v>
      </c>
      <c r="L19" s="40">
        <v>4742.1</v>
      </c>
      <c r="M19" s="41">
        <v>4884.4</v>
      </c>
      <c r="N19" s="39">
        <v>5131.7</v>
      </c>
      <c r="O19" s="40">
        <v>5280.2</v>
      </c>
      <c r="P19" s="40">
        <v>5529.5</v>
      </c>
      <c r="Q19" s="41">
        <v>5650.799999999999</v>
      </c>
      <c r="R19" s="39">
        <v>5782</v>
      </c>
      <c r="S19" s="40">
        <v>5951.5</v>
      </c>
      <c r="T19" s="40">
        <v>6194.599999999999</v>
      </c>
      <c r="U19" s="41">
        <v>6413.7</v>
      </c>
      <c r="V19" s="39">
        <v>6751.1</v>
      </c>
      <c r="W19" s="40">
        <v>6978.8</v>
      </c>
      <c r="X19" s="40">
        <f>Bilans_BS!X54</f>
        <v>7424.9</v>
      </c>
      <c r="Y19" s="40">
        <f>Bilans_BS!Y54</f>
        <v>8133.799999999999</v>
      </c>
      <c r="Z19" s="39">
        <f>Bilans_BS!Z54</f>
        <v>8236.5</v>
      </c>
      <c r="AA19" s="40">
        <f>Bilans_BS!AA54</f>
        <v>8131.2</v>
      </c>
      <c r="AB19" s="40">
        <f>Bilans_BS!AB54</f>
        <v>8269.2</v>
      </c>
      <c r="AC19" s="41">
        <f>Bilans_BS!AC54</f>
        <v>8626.3</v>
      </c>
      <c r="AD19" s="40">
        <f>Bilans_BS!AD54</f>
        <v>8885.599999999999</v>
      </c>
      <c r="AE19" s="40">
        <f>Bilans_BS!AE54</f>
        <v>9158.699999999999</v>
      </c>
      <c r="AF19" s="40">
        <f>Bilans_BS!AF54</f>
        <v>9931.599999999999</v>
      </c>
      <c r="AG19" s="40">
        <f>Bilans_BS!AG54</f>
        <v>10454</v>
      </c>
      <c r="AH19" s="39">
        <f>Bilans_BS!AH54</f>
        <v>10229.5</v>
      </c>
      <c r="AI19" s="40">
        <f>Bilans_BS!AI54</f>
        <v>9556.1</v>
      </c>
      <c r="AJ19" s="40">
        <f>Bilans_BS!AJ54</f>
        <v>10301.8</v>
      </c>
      <c r="AK19" s="40">
        <f>Bilans_BS!AK54</f>
        <v>10677.899999999998</v>
      </c>
      <c r="AL19" s="39">
        <f>Bilans_BS!AL54</f>
        <v>10667.7</v>
      </c>
      <c r="AM19" s="40">
        <f>Bilans_BS!AM54</f>
        <v>10810.099999999999</v>
      </c>
      <c r="AN19" s="40">
        <f>Bilans_BS!AN54</f>
        <v>10976.7</v>
      </c>
      <c r="AO19" s="41">
        <f>Bilans_BS!AO54</f>
        <v>10474.9</v>
      </c>
      <c r="AP19" s="40">
        <f>Bilans_BS!AP54</f>
        <v>10787.3</v>
      </c>
      <c r="AQ19" s="40">
        <f>Bilans_BS!AQ54</f>
        <v>11154.1</v>
      </c>
    </row>
    <row r="20" spans="1:43" s="9" customFormat="1" ht="12.75">
      <c r="A20" s="38"/>
      <c r="B20" s="60"/>
      <c r="C20" s="61"/>
      <c r="D20" s="61"/>
      <c r="E20" s="61"/>
      <c r="F20" s="60"/>
      <c r="G20" s="61"/>
      <c r="H20" s="61"/>
      <c r="I20" s="62"/>
      <c r="J20" s="60"/>
      <c r="K20" s="61"/>
      <c r="L20" s="61"/>
      <c r="M20" s="62"/>
      <c r="N20" s="60"/>
      <c r="O20" s="61"/>
      <c r="P20" s="61"/>
      <c r="Q20" s="62"/>
      <c r="R20" s="60"/>
      <c r="S20" s="61"/>
      <c r="T20" s="61"/>
      <c r="U20" s="62"/>
      <c r="V20" s="60"/>
      <c r="W20" s="61"/>
      <c r="X20" s="61"/>
      <c r="Y20" s="61"/>
      <c r="Z20" s="60"/>
      <c r="AA20" s="61"/>
      <c r="AB20" s="61"/>
      <c r="AC20" s="62"/>
      <c r="AD20" s="61"/>
      <c r="AE20" s="61"/>
      <c r="AF20" s="61"/>
      <c r="AG20" s="61"/>
      <c r="AH20" s="60"/>
      <c r="AI20" s="61"/>
      <c r="AJ20" s="61"/>
      <c r="AK20" s="61"/>
      <c r="AL20" s="60"/>
      <c r="AM20" s="61"/>
      <c r="AN20" s="61"/>
      <c r="AO20" s="62"/>
      <c r="AP20" s="61"/>
      <c r="AQ20" s="61"/>
    </row>
    <row r="21" spans="1:43" s="9" customFormat="1" ht="12.75">
      <c r="A21" s="38" t="s">
        <v>333</v>
      </c>
      <c r="B21" s="63">
        <v>0.1374</v>
      </c>
      <c r="C21" s="64">
        <v>0.1341</v>
      </c>
      <c r="D21" s="64">
        <v>0.1305</v>
      </c>
      <c r="E21" s="64">
        <v>0.1312</v>
      </c>
      <c r="F21" s="63">
        <v>0.1102</v>
      </c>
      <c r="G21" s="64">
        <v>0.1122</v>
      </c>
      <c r="H21" s="64">
        <v>0.119</v>
      </c>
      <c r="I21" s="65">
        <v>0.1039</v>
      </c>
      <c r="J21" s="63">
        <v>0.101</v>
      </c>
      <c r="K21" s="64">
        <v>0.1087</v>
      </c>
      <c r="L21" s="64">
        <v>0.1207</v>
      </c>
      <c r="M21" s="65">
        <v>0.1201</v>
      </c>
      <c r="N21" s="63">
        <v>0.13</v>
      </c>
      <c r="O21" s="64">
        <v>0.1256</v>
      </c>
      <c r="P21" s="64">
        <v>0.133</v>
      </c>
      <c r="Q21" s="65">
        <v>0.1315</v>
      </c>
      <c r="R21" s="63">
        <v>0.1274</v>
      </c>
      <c r="S21" s="64">
        <v>0.1261</v>
      </c>
      <c r="T21" s="64">
        <v>0.1256</v>
      </c>
      <c r="U21" s="65">
        <v>0.1192</v>
      </c>
      <c r="V21" s="63">
        <v>0.1211</v>
      </c>
      <c r="W21" s="61">
        <v>0.1298</v>
      </c>
      <c r="X21" s="61">
        <f>'Łączny współ kap_TCR_GROUP'!X78</f>
        <v>0.1367</v>
      </c>
      <c r="Y21" s="61">
        <f>'Łączny współ kap_TCR_GROUP'!Y78</f>
        <v>0.1455</v>
      </c>
      <c r="Z21" s="63">
        <f>'Łączny współ kap_TCR_GROUP'!Z78</f>
        <v>0.1515</v>
      </c>
      <c r="AA21" s="61">
        <f>'Łączny współ kap_TCR_GROUP'!AA78</f>
        <v>0.1583</v>
      </c>
      <c r="AB21" s="61">
        <f>'Łączny współ kap_TCR_GROUP'!AB78</f>
        <v>0.1739</v>
      </c>
      <c r="AC21" s="62">
        <f>'Łączny współ kap_TCR_GROUP'!AC78</f>
        <v>0.1728</v>
      </c>
      <c r="AD21" s="61">
        <f>'Łączny współ kap_TCR_GROUP'!AD78</f>
        <v>0.1457</v>
      </c>
      <c r="AE21" s="61">
        <f>'Łączny współ kap_TCR_GROUP'!AE78</f>
        <v>0.1504</v>
      </c>
      <c r="AF21" s="61">
        <f>'Łączny współ kap_TCR_GROUP'!AF78</f>
        <v>0.1418</v>
      </c>
      <c r="AG21" s="61">
        <f>'Łączny współ kap_TCR_GROUP'!AG78</f>
        <v>0.1417</v>
      </c>
      <c r="AH21" s="63">
        <f>'Łączny współ kap_TCR_GROUP'!AH78</f>
        <v>0.1481</v>
      </c>
      <c r="AI21" s="61">
        <f>'Łączny współ kap_TCR_GROUP'!AI78</f>
        <v>0.137</v>
      </c>
      <c r="AJ21" s="61">
        <f>'Łączny współ kap_TCR_GROUP'!AJ78</f>
        <v>0.1366</v>
      </c>
      <c r="AK21" s="61">
        <f>'Łączny współ kap_TCR_GROUP'!AK78</f>
        <v>0.1374</v>
      </c>
      <c r="AL21" s="63">
        <f>'Łączny współ kap_TCR_GROUP'!AL78</f>
        <v>0.1411</v>
      </c>
      <c r="AM21" s="61">
        <f>'Łączny współ kap_TCR_GROUP'!AM78</f>
        <v>0.1458</v>
      </c>
      <c r="AN21" s="61">
        <f>'Łączny współ kap_TCR_GROUP'!AN78</f>
        <v>0.148</v>
      </c>
      <c r="AO21" s="62">
        <f>'Łączny współ kap_TCR_GROUP'!AO78</f>
        <v>0.1473</v>
      </c>
      <c r="AP21" s="64">
        <f>'Łączny współ kap_TCR_GROUP'!AP78</f>
        <v>0.1429</v>
      </c>
      <c r="AQ21" s="61">
        <f>'Łączny współ kap_TCR_GROUP'!AQ78</f>
        <v>0.1528</v>
      </c>
    </row>
    <row r="22" spans="1:43" s="245" customFormat="1" ht="12.75" customHeight="1" hidden="1">
      <c r="A22" s="239"/>
      <c r="B22" s="240"/>
      <c r="C22" s="241"/>
      <c r="D22" s="241"/>
      <c r="E22" s="241"/>
      <c r="F22" s="240"/>
      <c r="G22" s="241"/>
      <c r="H22" s="241"/>
      <c r="I22" s="242"/>
      <c r="J22" s="240"/>
      <c r="K22" s="241"/>
      <c r="L22" s="241"/>
      <c r="M22" s="242"/>
      <c r="N22" s="240"/>
      <c r="O22" s="241"/>
      <c r="P22" s="241"/>
      <c r="Q22" s="242"/>
      <c r="R22" s="240"/>
      <c r="S22" s="241"/>
      <c r="T22" s="241"/>
      <c r="U22" s="242"/>
      <c r="V22" s="240"/>
      <c r="W22" s="243"/>
      <c r="X22" s="243"/>
      <c r="Y22" s="243"/>
      <c r="Z22" s="240"/>
      <c r="AA22" s="243"/>
      <c r="AB22" s="243"/>
      <c r="AC22" s="244"/>
      <c r="AD22" s="241"/>
      <c r="AE22" s="241"/>
      <c r="AF22" s="241"/>
      <c r="AG22" s="241"/>
      <c r="AH22" s="240"/>
      <c r="AI22" s="241"/>
      <c r="AJ22" s="241"/>
      <c r="AK22" s="241"/>
      <c r="AL22" s="240"/>
      <c r="AM22" s="241"/>
      <c r="AN22" s="241"/>
      <c r="AO22" s="242"/>
      <c r="AP22" s="241"/>
      <c r="AQ22" s="241"/>
    </row>
    <row r="23" spans="1:43" s="245" customFormat="1" ht="12.75" customHeight="1" hidden="1">
      <c r="A23" s="239"/>
      <c r="B23" s="240"/>
      <c r="C23" s="241"/>
      <c r="D23" s="241"/>
      <c r="E23" s="241"/>
      <c r="F23" s="240"/>
      <c r="G23" s="241"/>
      <c r="H23" s="241"/>
      <c r="I23" s="242"/>
      <c r="J23" s="240"/>
      <c r="K23" s="241"/>
      <c r="L23" s="241"/>
      <c r="M23" s="242"/>
      <c r="N23" s="240"/>
      <c r="O23" s="241"/>
      <c r="P23" s="241"/>
      <c r="Q23" s="242"/>
      <c r="R23" s="240"/>
      <c r="S23" s="241"/>
      <c r="T23" s="241"/>
      <c r="U23" s="242"/>
      <c r="V23" s="240"/>
      <c r="W23" s="243"/>
      <c r="X23" s="243"/>
      <c r="Y23" s="243"/>
      <c r="Z23" s="240"/>
      <c r="AA23" s="243"/>
      <c r="AB23" s="243"/>
      <c r="AC23" s="244"/>
      <c r="AD23" s="241"/>
      <c r="AE23" s="241"/>
      <c r="AF23" s="241"/>
      <c r="AG23" s="241"/>
      <c r="AH23" s="240"/>
      <c r="AI23" s="241"/>
      <c r="AJ23" s="241"/>
      <c r="AK23" s="241"/>
      <c r="AL23" s="240"/>
      <c r="AM23" s="241"/>
      <c r="AN23" s="241"/>
      <c r="AO23" s="242"/>
      <c r="AP23" s="241"/>
      <c r="AQ23" s="241"/>
    </row>
    <row r="24" spans="1:43" s="9" customFormat="1" ht="12.75" customHeight="1" hidden="1">
      <c r="A24" s="38"/>
      <c r="B24" s="60"/>
      <c r="C24" s="61"/>
      <c r="D24" s="61"/>
      <c r="E24" s="61"/>
      <c r="F24" s="60"/>
      <c r="G24" s="61"/>
      <c r="H24" s="61"/>
      <c r="I24" s="62"/>
      <c r="J24" s="60"/>
      <c r="K24" s="61"/>
      <c r="L24" s="61"/>
      <c r="M24" s="62"/>
      <c r="N24" s="60"/>
      <c r="O24" s="61"/>
      <c r="P24" s="61"/>
      <c r="Q24" s="62"/>
      <c r="R24" s="60"/>
      <c r="S24" s="61"/>
      <c r="T24" s="61"/>
      <c r="U24" s="62"/>
      <c r="V24" s="60"/>
      <c r="W24" s="61"/>
      <c r="X24" s="61"/>
      <c r="Y24" s="61"/>
      <c r="Z24" s="60"/>
      <c r="AA24" s="61"/>
      <c r="AB24" s="61"/>
      <c r="AC24" s="62"/>
      <c r="AD24" s="61"/>
      <c r="AE24" s="61"/>
      <c r="AF24" s="61"/>
      <c r="AG24" s="61"/>
      <c r="AH24" s="60"/>
      <c r="AI24" s="61"/>
      <c r="AJ24" s="61"/>
      <c r="AK24" s="61"/>
      <c r="AL24" s="60"/>
      <c r="AM24" s="61"/>
      <c r="AN24" s="61"/>
      <c r="AO24" s="62"/>
      <c r="AP24" s="61"/>
      <c r="AQ24" s="61"/>
    </row>
    <row r="25" spans="1:43" s="9" customFormat="1" ht="12.75">
      <c r="A25" s="38" t="s">
        <v>334</v>
      </c>
      <c r="B25" s="60">
        <v>0.1318</v>
      </c>
      <c r="C25" s="61">
        <v>0.1255</v>
      </c>
      <c r="D25" s="61">
        <v>0.1217</v>
      </c>
      <c r="E25" s="61">
        <v>0.1203</v>
      </c>
      <c r="F25" s="60">
        <v>0.1025</v>
      </c>
      <c r="G25" s="61">
        <v>0.1033</v>
      </c>
      <c r="H25" s="61">
        <v>0.1131</v>
      </c>
      <c r="I25" s="62">
        <v>0.0983</v>
      </c>
      <c r="J25" s="60">
        <v>0.0939</v>
      </c>
      <c r="K25" s="61">
        <v>0.0993</v>
      </c>
      <c r="L25" s="61">
        <v>0.1121</v>
      </c>
      <c r="M25" s="62">
        <v>0.1124</v>
      </c>
      <c r="N25" s="60">
        <v>0.1218</v>
      </c>
      <c r="O25" s="61">
        <v>0.1159</v>
      </c>
      <c r="P25" s="61">
        <v>0.1236</v>
      </c>
      <c r="Q25" s="62">
        <v>0.122</v>
      </c>
      <c r="R25" s="60">
        <v>0.1173</v>
      </c>
      <c r="S25" s="61">
        <v>0.1161</v>
      </c>
      <c r="T25" s="61">
        <v>0.1178</v>
      </c>
      <c r="U25" s="62">
        <v>0.1158</v>
      </c>
      <c r="V25" s="60">
        <v>0.1157</v>
      </c>
      <c r="W25" s="61">
        <v>0.124</v>
      </c>
      <c r="X25" s="61">
        <v>0.1309</v>
      </c>
      <c r="Y25" s="61">
        <v>0.14</v>
      </c>
      <c r="Z25" s="60">
        <v>0.1441</v>
      </c>
      <c r="AA25" s="61">
        <v>0.1525</v>
      </c>
      <c r="AB25" s="61">
        <v>0.1733</v>
      </c>
      <c r="AC25" s="62">
        <v>0.171</v>
      </c>
      <c r="AD25" s="61">
        <v>0.153</v>
      </c>
      <c r="AE25" s="61">
        <v>0.157</v>
      </c>
      <c r="AF25" s="61">
        <v>0.1531</v>
      </c>
      <c r="AG25" s="61">
        <v>0.1552</v>
      </c>
      <c r="AH25" s="60">
        <v>0.1576</v>
      </c>
      <c r="AI25" s="61">
        <v>0.1462</v>
      </c>
      <c r="AJ25" s="61">
        <v>0.1467</v>
      </c>
      <c r="AK25" s="61">
        <v>0.1507</v>
      </c>
      <c r="AL25" s="60">
        <v>0.154</v>
      </c>
      <c r="AM25" s="61">
        <v>0.1628</v>
      </c>
      <c r="AN25" s="61">
        <v>0.1659</v>
      </c>
      <c r="AO25" s="62">
        <v>0.166</v>
      </c>
      <c r="AP25" s="61">
        <v>0.1613</v>
      </c>
      <c r="AQ25" s="61">
        <v>0.172</v>
      </c>
    </row>
    <row r="26" spans="1:43" s="245" customFormat="1" ht="12.75" customHeight="1" hidden="1">
      <c r="A26" s="239"/>
      <c r="B26" s="240"/>
      <c r="C26" s="241"/>
      <c r="D26" s="241"/>
      <c r="E26" s="241"/>
      <c r="F26" s="240"/>
      <c r="G26" s="241"/>
      <c r="H26" s="241"/>
      <c r="I26" s="242"/>
      <c r="J26" s="240"/>
      <c r="K26" s="241"/>
      <c r="L26" s="241"/>
      <c r="M26" s="242"/>
      <c r="N26" s="240"/>
      <c r="O26" s="241"/>
      <c r="P26" s="241"/>
      <c r="Q26" s="242"/>
      <c r="R26" s="240"/>
      <c r="S26" s="241"/>
      <c r="T26" s="241"/>
      <c r="U26" s="242"/>
      <c r="V26" s="240"/>
      <c r="W26" s="243"/>
      <c r="X26" s="243"/>
      <c r="Y26" s="243"/>
      <c r="Z26" s="240"/>
      <c r="AA26" s="243"/>
      <c r="AB26" s="243"/>
      <c r="AC26" s="244"/>
      <c r="AD26" s="241"/>
      <c r="AE26" s="241"/>
      <c r="AF26" s="241"/>
      <c r="AG26" s="241"/>
      <c r="AH26" s="240"/>
      <c r="AI26" s="241"/>
      <c r="AJ26" s="241"/>
      <c r="AK26" s="241"/>
      <c r="AL26" s="240"/>
      <c r="AM26" s="241"/>
      <c r="AN26" s="241"/>
      <c r="AO26" s="242"/>
      <c r="AP26" s="241"/>
      <c r="AQ26" s="241"/>
    </row>
    <row r="27" spans="1:43" s="245" customFormat="1" ht="12.75" customHeight="1" hidden="1">
      <c r="A27" s="239"/>
      <c r="B27" s="240"/>
      <c r="C27" s="241"/>
      <c r="D27" s="241"/>
      <c r="E27" s="241"/>
      <c r="F27" s="240"/>
      <c r="G27" s="241"/>
      <c r="H27" s="241"/>
      <c r="I27" s="242"/>
      <c r="J27" s="240"/>
      <c r="K27" s="241"/>
      <c r="L27" s="241"/>
      <c r="M27" s="242"/>
      <c r="N27" s="240"/>
      <c r="O27" s="241"/>
      <c r="P27" s="241"/>
      <c r="Q27" s="242"/>
      <c r="R27" s="240"/>
      <c r="S27" s="241"/>
      <c r="T27" s="241"/>
      <c r="U27" s="242"/>
      <c r="V27" s="240"/>
      <c r="W27" s="243"/>
      <c r="X27" s="243"/>
      <c r="Y27" s="243"/>
      <c r="Z27" s="240"/>
      <c r="AA27" s="243"/>
      <c r="AB27" s="243"/>
      <c r="AC27" s="244"/>
      <c r="AD27" s="241"/>
      <c r="AE27" s="241"/>
      <c r="AF27" s="241"/>
      <c r="AG27" s="241"/>
      <c r="AH27" s="240"/>
      <c r="AI27" s="241"/>
      <c r="AJ27" s="241"/>
      <c r="AK27" s="241"/>
      <c r="AL27" s="240"/>
      <c r="AM27" s="241"/>
      <c r="AN27" s="241"/>
      <c r="AO27" s="242"/>
      <c r="AP27" s="241"/>
      <c r="AQ27" s="241"/>
    </row>
    <row r="28" spans="1:43" s="9" customFormat="1" ht="12.75">
      <c r="A28" s="38"/>
      <c r="B28" s="26"/>
      <c r="C28" s="27"/>
      <c r="D28" s="27"/>
      <c r="E28" s="27"/>
      <c r="F28" s="26"/>
      <c r="G28" s="27"/>
      <c r="H28" s="27"/>
      <c r="I28" s="28"/>
      <c r="J28" s="26"/>
      <c r="K28" s="27"/>
      <c r="L28" s="27"/>
      <c r="M28" s="28"/>
      <c r="N28" s="26"/>
      <c r="O28" s="27"/>
      <c r="P28" s="27"/>
      <c r="Q28" s="28"/>
      <c r="R28" s="26"/>
      <c r="S28" s="27"/>
      <c r="T28" s="27"/>
      <c r="U28" s="28"/>
      <c r="V28" s="26"/>
      <c r="W28" s="27"/>
      <c r="X28" s="27"/>
      <c r="Y28" s="27"/>
      <c r="Z28" s="26"/>
      <c r="AA28" s="27"/>
      <c r="AB28" s="27"/>
      <c r="AC28" s="28"/>
      <c r="AD28" s="27"/>
      <c r="AE28" s="27"/>
      <c r="AF28" s="27"/>
      <c r="AG28" s="27"/>
      <c r="AH28" s="26"/>
      <c r="AI28" s="27"/>
      <c r="AJ28" s="27"/>
      <c r="AK28" s="27"/>
      <c r="AL28" s="26"/>
      <c r="AM28" s="27"/>
      <c r="AN28" s="27"/>
      <c r="AO28" s="28"/>
      <c r="AP28" s="27"/>
      <c r="AQ28" s="27"/>
    </row>
    <row r="29" spans="1:43" s="9" customFormat="1" ht="12.75">
      <c r="A29" s="37" t="s">
        <v>192</v>
      </c>
      <c r="B29" s="26"/>
      <c r="C29" s="27"/>
      <c r="D29" s="27"/>
      <c r="E29" s="27"/>
      <c r="F29" s="26"/>
      <c r="G29" s="27"/>
      <c r="H29" s="27"/>
      <c r="I29" s="28"/>
      <c r="J29" s="26"/>
      <c r="K29" s="27"/>
      <c r="L29" s="27"/>
      <c r="M29" s="28"/>
      <c r="N29" s="26"/>
      <c r="O29" s="27"/>
      <c r="P29" s="27"/>
      <c r="Q29" s="28"/>
      <c r="R29" s="26"/>
      <c r="S29" s="27"/>
      <c r="T29" s="27"/>
      <c r="U29" s="28"/>
      <c r="V29" s="26"/>
      <c r="W29" s="27"/>
      <c r="X29" s="27"/>
      <c r="Y29" s="27"/>
      <c r="Z29" s="26"/>
      <c r="AA29" s="27"/>
      <c r="AB29" s="27"/>
      <c r="AC29" s="28"/>
      <c r="AD29" s="27"/>
      <c r="AE29" s="27"/>
      <c r="AF29" s="27"/>
      <c r="AG29" s="27"/>
      <c r="AH29" s="26"/>
      <c r="AI29" s="27"/>
      <c r="AJ29" s="27"/>
      <c r="AK29" s="27"/>
      <c r="AL29" s="26"/>
      <c r="AM29" s="27"/>
      <c r="AN29" s="27"/>
      <c r="AO29" s="28"/>
      <c r="AP29" s="27"/>
      <c r="AQ29" s="27"/>
    </row>
    <row r="30" spans="1:43" s="9" customFormat="1" ht="12.75">
      <c r="A30" s="38" t="s">
        <v>183</v>
      </c>
      <c r="B30" s="67">
        <v>1.3</v>
      </c>
      <c r="C30" s="68">
        <v>1.2</v>
      </c>
      <c r="D30" s="68">
        <v>1.2</v>
      </c>
      <c r="E30" s="68">
        <v>1.2</v>
      </c>
      <c r="F30" s="67">
        <v>1.2</v>
      </c>
      <c r="G30" s="68">
        <v>1.3</v>
      </c>
      <c r="H30" s="68">
        <v>1.2</v>
      </c>
      <c r="I30" s="69">
        <v>0.7</v>
      </c>
      <c r="J30" s="67">
        <v>0.5</v>
      </c>
      <c r="K30" s="68">
        <v>0.5</v>
      </c>
      <c r="L30" s="68">
        <v>0.5</v>
      </c>
      <c r="M30" s="69">
        <v>0.9</v>
      </c>
      <c r="N30" s="67">
        <v>1.1</v>
      </c>
      <c r="O30" s="68">
        <v>1.1</v>
      </c>
      <c r="P30" s="68">
        <v>1.1</v>
      </c>
      <c r="Q30" s="69">
        <v>1.2</v>
      </c>
      <c r="R30" s="67">
        <v>1.2</v>
      </c>
      <c r="S30" s="68">
        <v>1.3</v>
      </c>
      <c r="T30" s="68">
        <v>1.3</v>
      </c>
      <c r="U30" s="69">
        <v>1.3</v>
      </c>
      <c r="V30" s="67">
        <v>1.3</v>
      </c>
      <c r="W30" s="68">
        <v>1.2</v>
      </c>
      <c r="X30" s="68">
        <v>1.2</v>
      </c>
      <c r="Y30" s="40">
        <v>1.1</v>
      </c>
      <c r="Z30" s="67">
        <v>1.1</v>
      </c>
      <c r="AA30" s="68">
        <v>1.1</v>
      </c>
      <c r="AB30" s="68">
        <v>1.1</v>
      </c>
      <c r="AC30" s="41">
        <v>1.2</v>
      </c>
      <c r="AD30" s="40">
        <v>1.1</v>
      </c>
      <c r="AE30" s="40">
        <v>1.2</v>
      </c>
      <c r="AF30" s="40">
        <v>1.2</v>
      </c>
      <c r="AG30" s="40">
        <v>1.1</v>
      </c>
      <c r="AH30" s="67">
        <v>1.1</v>
      </c>
      <c r="AI30" s="68">
        <v>1.1</v>
      </c>
      <c r="AJ30" s="68">
        <v>1.1</v>
      </c>
      <c r="AK30" s="68">
        <v>1.1</v>
      </c>
      <c r="AL30" s="67">
        <v>1</v>
      </c>
      <c r="AM30" s="68">
        <v>1.1</v>
      </c>
      <c r="AN30" s="68">
        <v>1.1</v>
      </c>
      <c r="AO30" s="69">
        <v>1.1</v>
      </c>
      <c r="AP30" s="68">
        <v>1.1</v>
      </c>
      <c r="AQ30" s="68">
        <v>1.1</v>
      </c>
    </row>
    <row r="31" spans="1:43" s="9" customFormat="1" ht="12.75">
      <c r="A31" s="38" t="s">
        <v>184</v>
      </c>
      <c r="B31" s="67">
        <v>16.3</v>
      </c>
      <c r="C31" s="68">
        <v>16.3</v>
      </c>
      <c r="D31" s="68">
        <v>17</v>
      </c>
      <c r="E31" s="68">
        <v>16.7</v>
      </c>
      <c r="F31" s="67">
        <v>16.6</v>
      </c>
      <c r="G31" s="68">
        <v>18.2</v>
      </c>
      <c r="H31" s="68">
        <v>16.9</v>
      </c>
      <c r="I31" s="69">
        <v>11</v>
      </c>
      <c r="J31" s="67">
        <v>8.5</v>
      </c>
      <c r="K31" s="68">
        <v>7.1</v>
      </c>
      <c r="L31" s="68">
        <v>7.8</v>
      </c>
      <c r="M31" s="69">
        <v>13.1</v>
      </c>
      <c r="N31" s="67">
        <v>14.7</v>
      </c>
      <c r="O31" s="68">
        <v>14.3</v>
      </c>
      <c r="P31" s="68">
        <v>13.3</v>
      </c>
      <c r="Q31" s="69">
        <v>14.2</v>
      </c>
      <c r="R31" s="67">
        <v>14.4</v>
      </c>
      <c r="S31" s="68">
        <v>14.7</v>
      </c>
      <c r="T31" s="68">
        <v>14.7</v>
      </c>
      <c r="U31" s="69">
        <v>14.7</v>
      </c>
      <c r="V31" s="67">
        <v>15.1</v>
      </c>
      <c r="W31" s="68">
        <v>13.5</v>
      </c>
      <c r="X31" s="68">
        <v>12.7</v>
      </c>
      <c r="Y31" s="40">
        <v>11.7</v>
      </c>
      <c r="Z31" s="67">
        <v>10.9</v>
      </c>
      <c r="AA31" s="68">
        <v>11.2</v>
      </c>
      <c r="AB31" s="68">
        <v>11.2</v>
      </c>
      <c r="AC31" s="41">
        <v>11.6</v>
      </c>
      <c r="AD31" s="40">
        <v>11.3</v>
      </c>
      <c r="AE31" s="40">
        <v>11.9</v>
      </c>
      <c r="AF31" s="40">
        <v>11.8</v>
      </c>
      <c r="AG31" s="68">
        <v>11.1</v>
      </c>
      <c r="AH31" s="67">
        <v>10.8</v>
      </c>
      <c r="AI31" s="68">
        <v>11.2</v>
      </c>
      <c r="AJ31" s="68">
        <v>11.4</v>
      </c>
      <c r="AK31" s="68">
        <v>11</v>
      </c>
      <c r="AL31" s="67">
        <v>10.9</v>
      </c>
      <c r="AM31" s="68">
        <v>11.4</v>
      </c>
      <c r="AN31" s="68">
        <v>11.3</v>
      </c>
      <c r="AO31" s="69">
        <v>11.7</v>
      </c>
      <c r="AP31" s="68">
        <v>12</v>
      </c>
      <c r="AQ31" s="68">
        <v>11.5</v>
      </c>
    </row>
    <row r="32" spans="1:43" s="9" customFormat="1" ht="12.75">
      <c r="A32" s="70" t="s">
        <v>185</v>
      </c>
      <c r="B32" s="71">
        <f>+B7/B6*100</f>
        <v>62.33308605341246</v>
      </c>
      <c r="C32" s="72">
        <f aca="true" t="shared" si="0" ref="C32:AA32">ROUND(C7/C6*100,1)</f>
        <v>66.1</v>
      </c>
      <c r="D32" s="72">
        <f t="shared" si="0"/>
        <v>65.8</v>
      </c>
      <c r="E32" s="72">
        <f t="shared" si="0"/>
        <v>75</v>
      </c>
      <c r="F32" s="71">
        <f t="shared" si="0"/>
        <v>63.1</v>
      </c>
      <c r="G32" s="72">
        <f t="shared" si="0"/>
        <v>62.3</v>
      </c>
      <c r="H32" s="72">
        <f t="shared" si="0"/>
        <v>65.7</v>
      </c>
      <c r="I32" s="73">
        <f t="shared" si="0"/>
        <v>111.4</v>
      </c>
      <c r="J32" s="71">
        <f t="shared" si="0"/>
        <v>65.3</v>
      </c>
      <c r="K32" s="72">
        <f t="shared" si="0"/>
        <v>56.1</v>
      </c>
      <c r="L32" s="72">
        <f t="shared" si="0"/>
        <v>56.1</v>
      </c>
      <c r="M32" s="73">
        <f t="shared" si="0"/>
        <v>60.2</v>
      </c>
      <c r="N32" s="71">
        <f t="shared" si="0"/>
        <v>59.6</v>
      </c>
      <c r="O32" s="72">
        <f t="shared" si="0"/>
        <v>59.6</v>
      </c>
      <c r="P32" s="72">
        <f t="shared" si="0"/>
        <v>58.5</v>
      </c>
      <c r="Q32" s="73">
        <f t="shared" si="0"/>
        <v>56.7</v>
      </c>
      <c r="R32" s="71">
        <f t="shared" si="0"/>
        <v>56.3</v>
      </c>
      <c r="S32" s="72">
        <f t="shared" si="0"/>
        <v>56.9</v>
      </c>
      <c r="T32" s="72">
        <f t="shared" si="0"/>
        <v>58.7</v>
      </c>
      <c r="U32" s="73">
        <f t="shared" si="0"/>
        <v>55.7</v>
      </c>
      <c r="V32" s="71">
        <f t="shared" si="0"/>
        <v>55.4</v>
      </c>
      <c r="W32" s="72">
        <f t="shared" si="0"/>
        <v>57.9</v>
      </c>
      <c r="X32" s="72">
        <f t="shared" si="0"/>
        <v>58.2</v>
      </c>
      <c r="Y32" s="72">
        <f t="shared" si="0"/>
        <v>58.7</v>
      </c>
      <c r="Z32" s="71">
        <f t="shared" si="0"/>
        <v>55.8</v>
      </c>
      <c r="AA32" s="72">
        <f t="shared" si="0"/>
        <v>58.6</v>
      </c>
      <c r="AB32" s="72">
        <f aca="true" t="shared" si="1" ref="AB32:AH32">ROUND(AB7/AB6*100,1)</f>
        <v>56.6</v>
      </c>
      <c r="AC32" s="73">
        <f t="shared" si="1"/>
        <v>53.7</v>
      </c>
      <c r="AD32" s="40">
        <f t="shared" si="1"/>
        <v>53.3</v>
      </c>
      <c r="AE32" s="40">
        <f t="shared" si="1"/>
        <v>53.5</v>
      </c>
      <c r="AF32" s="40">
        <f t="shared" si="1"/>
        <v>54.6</v>
      </c>
      <c r="AG32" s="40">
        <f>ROUND(AG7/AG6*100,1)</f>
        <v>56.4</v>
      </c>
      <c r="AH32" s="71">
        <f t="shared" si="1"/>
        <v>54.7</v>
      </c>
      <c r="AI32" s="68">
        <f aca="true" t="shared" si="2" ref="AI32:AQ32">ROUND(AI7/AI6*100,1)</f>
        <v>51.2</v>
      </c>
      <c r="AJ32" s="68">
        <f t="shared" si="2"/>
        <v>54.4</v>
      </c>
      <c r="AK32" s="40">
        <f t="shared" si="2"/>
        <v>68</v>
      </c>
      <c r="AL32" s="71">
        <f t="shared" si="2"/>
        <v>52.2</v>
      </c>
      <c r="AM32" s="68">
        <f t="shared" si="2"/>
        <v>44.9</v>
      </c>
      <c r="AN32" s="68">
        <f t="shared" si="2"/>
        <v>48</v>
      </c>
      <c r="AO32" s="41">
        <f t="shared" si="2"/>
        <v>49.7</v>
      </c>
      <c r="AP32" s="72">
        <f>ROUND(AP7/AP6*100,1)</f>
        <v>49.7</v>
      </c>
      <c r="AQ32" s="68">
        <f t="shared" si="2"/>
        <v>42.9</v>
      </c>
    </row>
    <row r="33" spans="1:43" s="9" customFormat="1" ht="12.75">
      <c r="A33" s="70" t="s">
        <v>253</v>
      </c>
      <c r="B33" s="71">
        <f>+B7/B6*100</f>
        <v>62.33308605341246</v>
      </c>
      <c r="C33" s="72">
        <f>(+B7+C7)/(B6+C6)*100</f>
        <v>64.16996419822874</v>
      </c>
      <c r="D33" s="72">
        <f>(+B7+C7+D7)/(B6+C6+D6)*100</f>
        <v>64.72532269127642</v>
      </c>
      <c r="E33" s="72">
        <f>(+B7+C7+D7+E7)/(B6+C6+D6+E6)*100</f>
        <v>67.07593047330155</v>
      </c>
      <c r="F33" s="71">
        <f>+F7/F6*100</f>
        <v>63.102797322807604</v>
      </c>
      <c r="G33" s="72">
        <f>(+F7+G7)/(F6+G6)*100</f>
        <v>62.694472029129415</v>
      </c>
      <c r="H33" s="72">
        <f>(+F7+G7+H7)/(F6+G6+H6)*100</f>
        <v>63.72634802581209</v>
      </c>
      <c r="I33" s="72">
        <f>(+F7+G7+H7+I7)/(F6+G6+H6+I6)*100</f>
        <v>70.52286049237982</v>
      </c>
      <c r="J33" s="71">
        <f>+J7/J6*100</f>
        <v>65.33665835411472</v>
      </c>
      <c r="K33" s="72">
        <f>(+J7+K7)/(J6+K6)*100</f>
        <v>60.24790083966414</v>
      </c>
      <c r="L33" s="72">
        <f>(+J7+K7+L7)/(J6+K6+L6)*100</f>
        <v>58.74215120731022</v>
      </c>
      <c r="M33" s="72">
        <f>(+J7+K7+L7+M7)/(J6+K6+L6+M6)*100</f>
        <v>59.087342070156154</v>
      </c>
      <c r="N33" s="71">
        <f>+N7/N6*100</f>
        <v>59.57703927492448</v>
      </c>
      <c r="O33" s="72">
        <f>(+N7+O7)/(N6+O6)*100</f>
        <v>59.613239122350315</v>
      </c>
      <c r="P33" s="72">
        <f>(+N7+O7+P7)/(N6+O6+P6)*100</f>
        <v>59.21604998535586</v>
      </c>
      <c r="Q33" s="72">
        <f>(+N7+O7+P7+Q7)/(N6+O6+P6+Q6)*100</f>
        <v>58.58692486895749</v>
      </c>
      <c r="R33" s="71">
        <f>+R7/R6*100</f>
        <v>56.283710895361374</v>
      </c>
      <c r="S33" s="72">
        <f>(+R7+S7)/(R6+S6)*100</f>
        <v>56.571847311971226</v>
      </c>
      <c r="T33" s="72">
        <f>(+R7+S7+T7)/(R6+S6+T6)*100</f>
        <v>57.261058186859884</v>
      </c>
      <c r="U33" s="72">
        <f>(+R7+S7+T7+U7)/(R6+S6+T6+U6)*100</f>
        <v>56.856187290969906</v>
      </c>
      <c r="V33" s="71">
        <f>+V7/V6*100</f>
        <v>55.42717086834734</v>
      </c>
      <c r="W33" s="72">
        <f>(+V7+W7)/(V6+W6)*100</f>
        <v>56.61025115942901</v>
      </c>
      <c r="X33" s="72">
        <f>(+W7+X7+V7)/(W6+X6+V6)*100</f>
        <v>57.11674384596637</v>
      </c>
      <c r="Y33" s="72">
        <f>(+X7+V7+W7+Y7)/(X6+V6+W6+Y6)*100</f>
        <v>57.50824319743613</v>
      </c>
      <c r="Z33" s="71">
        <f>(+Z7/Z6)*100</f>
        <v>55.79726915065957</v>
      </c>
      <c r="AA33" s="72">
        <f>(+Z7+AA7)/(Z6+AA6)*100</f>
        <v>57.15307156050768</v>
      </c>
      <c r="AB33" s="72">
        <f>(+Z7+AB7+AA7)/(Z6+AB6+AA6)*100</f>
        <v>56.96151683136499</v>
      </c>
      <c r="AC33" s="73">
        <f>(+Z7+AC7+AB7+AA7)/(Z6+AC6+AB6+AA6)*100</f>
        <v>56.13339342045967</v>
      </c>
      <c r="AD33" s="71">
        <f>(+AD7/AD6)*100</f>
        <v>53.31522968997512</v>
      </c>
      <c r="AE33" s="72">
        <f>(+AD7+AE7)/(AD6+AE6)*100</f>
        <v>53.421274207128825</v>
      </c>
      <c r="AF33" s="72">
        <f>(+AD7+AF7+AE7)/(AD6+AF6+AE6)*100</f>
        <v>53.80020904882783</v>
      </c>
      <c r="AG33" s="72">
        <f>(+AD7+AG7+AE7+AF7)/(AD6+AG6+AE6+AF6)*100</f>
        <v>54.43748589483186</v>
      </c>
      <c r="AH33" s="71">
        <f>(+AH7)/(AH6)*100</f>
        <v>54.70198675496689</v>
      </c>
      <c r="AI33" s="310">
        <f>(+AH7+AI7)/(AH6+AI6)*100</f>
        <v>52.871675320546785</v>
      </c>
      <c r="AJ33" s="310">
        <f>(+AH7+AJ7+AI7)/(AH6+AJ6+AI6)*100</f>
        <v>53.37935917861568</v>
      </c>
      <c r="AK33" s="72">
        <f>(+AI7+AK7+AJ7+AH7)/(AI6+AK6+AJ6+AH6)*100</f>
        <v>57.05778036579232</v>
      </c>
      <c r="AL33" s="71">
        <f>ROUND(AL7/AL6*100,1)</f>
        <v>52.2</v>
      </c>
      <c r="AM33" s="310">
        <f>(+AL7+AM7)/(AL6+AM6)*100</f>
        <v>48.214285714285715</v>
      </c>
      <c r="AN33" s="310">
        <f>(+AM7+AN7+AL7)/(AM6+AN6+AL6)*100</f>
        <v>48.13427010148321</v>
      </c>
      <c r="AO33" s="73">
        <f>(+AM7+AO7+AL7+AN7)/(AM6+AO6+AL6+AN6)*100</f>
        <v>48.5420279801133</v>
      </c>
      <c r="AP33" s="72">
        <f>(+AP7)/(AP6)*100</f>
        <v>49.748788012340235</v>
      </c>
      <c r="AQ33" s="310">
        <f>(+AP7+AQ7)/(AP6+AQ6)*100</f>
        <v>46.22564411372533</v>
      </c>
    </row>
    <row r="34" spans="1:43" s="9" customFormat="1" ht="13.5">
      <c r="A34" s="70" t="s">
        <v>363</v>
      </c>
      <c r="B34" s="74" t="s">
        <v>214</v>
      </c>
      <c r="C34" s="75" t="s">
        <v>214</v>
      </c>
      <c r="D34" s="75" t="s">
        <v>214</v>
      </c>
      <c r="E34" s="75" t="s">
        <v>214</v>
      </c>
      <c r="F34" s="76">
        <v>2.04</v>
      </c>
      <c r="G34" s="77">
        <v>2.14</v>
      </c>
      <c r="H34" s="77">
        <v>2.15</v>
      </c>
      <c r="I34" s="78">
        <v>2.14</v>
      </c>
      <c r="J34" s="76">
        <v>2.08</v>
      </c>
      <c r="K34" s="77">
        <v>2.11</v>
      </c>
      <c r="L34" s="77">
        <v>2.18</v>
      </c>
      <c r="M34" s="78">
        <v>2.25</v>
      </c>
      <c r="N34" s="76">
        <v>2.45</v>
      </c>
      <c r="O34" s="77">
        <v>2.58</v>
      </c>
      <c r="P34" s="77">
        <v>2.66</v>
      </c>
      <c r="Q34" s="78">
        <v>2.78</v>
      </c>
      <c r="R34" s="76">
        <v>2.79</v>
      </c>
      <c r="S34" s="77">
        <v>2.83</v>
      </c>
      <c r="T34" s="77">
        <v>2.84</v>
      </c>
      <c r="U34" s="78">
        <v>2.87</v>
      </c>
      <c r="V34" s="76">
        <v>2.89</v>
      </c>
      <c r="W34" s="77">
        <v>2.94</v>
      </c>
      <c r="X34" s="77">
        <v>2.95</v>
      </c>
      <c r="Y34" s="80">
        <v>2.94</v>
      </c>
      <c r="Z34" s="76">
        <v>2.87</v>
      </c>
      <c r="AA34" s="77">
        <v>2.76</v>
      </c>
      <c r="AB34" s="77">
        <v>2.69</v>
      </c>
      <c r="AC34" s="81">
        <v>2.68</v>
      </c>
      <c r="AD34" s="77">
        <v>2.73</v>
      </c>
      <c r="AE34" s="80">
        <v>2.73</v>
      </c>
      <c r="AF34" s="80">
        <v>2.72</v>
      </c>
      <c r="AG34" s="77">
        <v>2.67</v>
      </c>
      <c r="AH34" s="76">
        <v>2.56</v>
      </c>
      <c r="AI34" s="77">
        <v>2.47</v>
      </c>
      <c r="AJ34" s="77">
        <v>2.43</v>
      </c>
      <c r="AK34" s="80">
        <v>2.45</v>
      </c>
      <c r="AL34" s="76">
        <v>2.48</v>
      </c>
      <c r="AM34" s="77">
        <v>2.5</v>
      </c>
      <c r="AN34" s="77">
        <v>2.57</v>
      </c>
      <c r="AO34" s="81">
        <v>2.67</v>
      </c>
      <c r="AP34" s="77">
        <v>2.75</v>
      </c>
      <c r="AQ34" s="77">
        <v>2.84</v>
      </c>
    </row>
    <row r="35" spans="2:43" ht="12.75">
      <c r="B35" s="26"/>
      <c r="C35" s="27"/>
      <c r="D35" s="27"/>
      <c r="E35" s="27"/>
      <c r="F35" s="26"/>
      <c r="G35" s="27"/>
      <c r="H35" s="27"/>
      <c r="I35" s="28"/>
      <c r="J35" s="26"/>
      <c r="K35" s="27"/>
      <c r="L35" s="27"/>
      <c r="M35" s="28"/>
      <c r="N35" s="26"/>
      <c r="O35" s="27"/>
      <c r="P35" s="27"/>
      <c r="Q35" s="28"/>
      <c r="R35" s="26"/>
      <c r="S35" s="27"/>
      <c r="T35" s="27"/>
      <c r="U35" s="28"/>
      <c r="V35" s="26"/>
      <c r="W35" s="27"/>
      <c r="X35" s="27"/>
      <c r="Y35" s="27"/>
      <c r="Z35" s="26"/>
      <c r="AA35" s="27"/>
      <c r="AB35" s="27"/>
      <c r="AC35" s="28"/>
      <c r="AD35" s="27"/>
      <c r="AE35" s="27"/>
      <c r="AF35" s="27"/>
      <c r="AG35" s="27"/>
      <c r="AH35" s="26"/>
      <c r="AI35" s="27"/>
      <c r="AJ35" s="27"/>
      <c r="AK35" s="27"/>
      <c r="AL35" s="26"/>
      <c r="AM35" s="27"/>
      <c r="AN35" s="27"/>
      <c r="AO35" s="28"/>
      <c r="AP35" s="27"/>
      <c r="AQ35" s="27"/>
    </row>
    <row r="36" spans="1:43" ht="12.75">
      <c r="A36" s="37" t="s">
        <v>195</v>
      </c>
      <c r="B36" s="26"/>
      <c r="C36" s="27"/>
      <c r="D36" s="27"/>
      <c r="E36" s="27"/>
      <c r="F36" s="26"/>
      <c r="G36" s="27"/>
      <c r="H36" s="27"/>
      <c r="I36" s="28"/>
      <c r="J36" s="26"/>
      <c r="K36" s="27"/>
      <c r="L36" s="27"/>
      <c r="M36" s="28"/>
      <c r="N36" s="26"/>
      <c r="O36" s="27"/>
      <c r="P36" s="27"/>
      <c r="Q36" s="28"/>
      <c r="R36" s="26"/>
      <c r="S36" s="27"/>
      <c r="T36" s="27"/>
      <c r="U36" s="28"/>
      <c r="V36" s="26"/>
      <c r="W36" s="27"/>
      <c r="X36" s="27"/>
      <c r="Y36" s="27"/>
      <c r="Z36" s="26"/>
      <c r="AA36" s="27"/>
      <c r="AB36" s="27"/>
      <c r="AC36" s="28"/>
      <c r="AD36" s="27"/>
      <c r="AE36" s="27"/>
      <c r="AF36" s="27"/>
      <c r="AG36" s="27"/>
      <c r="AH36" s="26"/>
      <c r="AI36" s="27"/>
      <c r="AJ36" s="27"/>
      <c r="AK36" s="27"/>
      <c r="AL36" s="26"/>
      <c r="AM36" s="27"/>
      <c r="AN36" s="27"/>
      <c r="AO36" s="28"/>
      <c r="AP36" s="27"/>
      <c r="AQ36" s="27"/>
    </row>
    <row r="37" spans="1:43" ht="13.5">
      <c r="A37" s="70" t="s">
        <v>364</v>
      </c>
      <c r="B37" s="26">
        <v>130100000</v>
      </c>
      <c r="C37" s="27">
        <v>130100000</v>
      </c>
      <c r="D37" s="27">
        <v>130100000</v>
      </c>
      <c r="E37" s="28">
        <v>130100000</v>
      </c>
      <c r="F37" s="27">
        <v>130100000</v>
      </c>
      <c r="G37" s="27">
        <v>130100000</v>
      </c>
      <c r="H37" s="27">
        <v>130100000</v>
      </c>
      <c r="I37" s="27">
        <v>130100000</v>
      </c>
      <c r="J37" s="26">
        <v>130100000</v>
      </c>
      <c r="K37" s="27">
        <v>130100000</v>
      </c>
      <c r="L37" s="27">
        <v>130100000</v>
      </c>
      <c r="M37" s="28">
        <v>130100000</v>
      </c>
      <c r="N37" s="27">
        <v>130100000</v>
      </c>
      <c r="O37" s="27">
        <v>130100000</v>
      </c>
      <c r="P37" s="27">
        <v>130100000</v>
      </c>
      <c r="Q37" s="27">
        <v>130100000</v>
      </c>
      <c r="R37" s="26">
        <v>130100000</v>
      </c>
      <c r="S37" s="27">
        <v>130100000</v>
      </c>
      <c r="T37" s="27">
        <v>130100000</v>
      </c>
      <c r="U37" s="28">
        <v>130100000</v>
      </c>
      <c r="V37" s="26">
        <v>130100000</v>
      </c>
      <c r="W37" s="27">
        <v>130100000</v>
      </c>
      <c r="X37" s="27">
        <v>130100000</v>
      </c>
      <c r="Y37" s="27">
        <v>130100000</v>
      </c>
      <c r="Z37" s="26">
        <v>130100000</v>
      </c>
      <c r="AA37" s="27">
        <v>130100000</v>
      </c>
      <c r="AB37" s="27">
        <v>130100000</v>
      </c>
      <c r="AC37" s="28">
        <v>130100000</v>
      </c>
      <c r="AD37" s="27">
        <v>130100000</v>
      </c>
      <c r="AE37" s="27">
        <v>130100000</v>
      </c>
      <c r="AF37" s="27">
        <v>130100000</v>
      </c>
      <c r="AG37" s="27">
        <v>130100000</v>
      </c>
      <c r="AH37" s="26">
        <v>130100000</v>
      </c>
      <c r="AI37" s="27">
        <v>130100000</v>
      </c>
      <c r="AJ37" s="27">
        <v>130100000</v>
      </c>
      <c r="AK37" s="27">
        <v>130100000</v>
      </c>
      <c r="AL37" s="26">
        <v>130100000</v>
      </c>
      <c r="AM37" s="27">
        <v>130100000</v>
      </c>
      <c r="AN37" s="27">
        <v>130100000</v>
      </c>
      <c r="AO37" s="28">
        <v>130100000</v>
      </c>
      <c r="AP37" s="27">
        <v>130100000</v>
      </c>
      <c r="AQ37" s="27">
        <v>130100000</v>
      </c>
    </row>
    <row r="38" spans="1:43" ht="12.75">
      <c r="A38" s="38" t="s">
        <v>194</v>
      </c>
      <c r="B38" s="39">
        <v>3902.2999999999993</v>
      </c>
      <c r="C38" s="40">
        <v>3622</v>
      </c>
      <c r="D38" s="40">
        <v>3820.3999999999996</v>
      </c>
      <c r="E38" s="41">
        <v>3838.7999999999997</v>
      </c>
      <c r="F38" s="40">
        <v>4013.7</v>
      </c>
      <c r="G38" s="40">
        <v>3977.5999999999995</v>
      </c>
      <c r="H38" s="40">
        <v>4277.9</v>
      </c>
      <c r="I38" s="41">
        <v>4222.2</v>
      </c>
      <c r="J38" s="39">
        <v>4280.9</v>
      </c>
      <c r="K38" s="40">
        <v>4514.6</v>
      </c>
      <c r="L38" s="40">
        <v>4742.1</v>
      </c>
      <c r="M38" s="41">
        <v>4884.4</v>
      </c>
      <c r="N38" s="39">
        <v>5131.7</v>
      </c>
      <c r="O38" s="40">
        <v>5280.2</v>
      </c>
      <c r="P38" s="40">
        <v>5529.5</v>
      </c>
      <c r="Q38" s="40">
        <v>5650.799999999999</v>
      </c>
      <c r="R38" s="39">
        <v>5782</v>
      </c>
      <c r="S38" s="40">
        <v>5951.5</v>
      </c>
      <c r="T38" s="40">
        <v>6194.599999999999</v>
      </c>
      <c r="U38" s="41">
        <v>6413.7</v>
      </c>
      <c r="V38" s="39">
        <v>6751.1</v>
      </c>
      <c r="W38" s="40">
        <v>6978.8</v>
      </c>
      <c r="X38" s="40">
        <f aca="true" t="shared" si="3" ref="X38:AF38">X19</f>
        <v>7424.9</v>
      </c>
      <c r="Y38" s="40">
        <f t="shared" si="3"/>
        <v>8133.799999999999</v>
      </c>
      <c r="Z38" s="39">
        <f t="shared" si="3"/>
        <v>8236.5</v>
      </c>
      <c r="AA38" s="40">
        <f t="shared" si="3"/>
        <v>8131.2</v>
      </c>
      <c r="AB38" s="40">
        <f t="shared" si="3"/>
        <v>8269.2</v>
      </c>
      <c r="AC38" s="41">
        <f>AC19</f>
        <v>8626.3</v>
      </c>
      <c r="AD38" s="40">
        <f>AD19</f>
        <v>8885.599999999999</v>
      </c>
      <c r="AE38" s="40">
        <f>AE19</f>
        <v>9158.699999999999</v>
      </c>
      <c r="AF38" s="40">
        <f t="shared" si="3"/>
        <v>9931.599999999999</v>
      </c>
      <c r="AG38" s="40">
        <f aca="true" t="shared" si="4" ref="AG38:AQ38">AG19</f>
        <v>10454</v>
      </c>
      <c r="AH38" s="39">
        <f t="shared" si="4"/>
        <v>10229.5</v>
      </c>
      <c r="AI38" s="40">
        <f t="shared" si="4"/>
        <v>9556.1</v>
      </c>
      <c r="AJ38" s="40">
        <f t="shared" si="4"/>
        <v>10301.8</v>
      </c>
      <c r="AK38" s="40">
        <f t="shared" si="4"/>
        <v>10677.899999999998</v>
      </c>
      <c r="AL38" s="39">
        <f t="shared" si="4"/>
        <v>10667.7</v>
      </c>
      <c r="AM38" s="40">
        <f t="shared" si="4"/>
        <v>10810.099999999999</v>
      </c>
      <c r="AN38" s="40">
        <f t="shared" si="4"/>
        <v>10976.7</v>
      </c>
      <c r="AO38" s="41">
        <f>AO19</f>
        <v>10474.9</v>
      </c>
      <c r="AP38" s="40">
        <f>AP19</f>
        <v>10787.3</v>
      </c>
      <c r="AQ38" s="40">
        <f t="shared" si="4"/>
        <v>11154.1</v>
      </c>
    </row>
    <row r="39" spans="1:43" ht="12.75">
      <c r="A39" s="38" t="s">
        <v>197</v>
      </c>
      <c r="B39" s="79">
        <f aca="true" t="shared" si="5" ref="B39:W39">+B38/B37*1000000</f>
        <v>29.9946195234435</v>
      </c>
      <c r="C39" s="80">
        <f t="shared" si="5"/>
        <v>27.84012298232129</v>
      </c>
      <c r="D39" s="80">
        <f t="shared" si="5"/>
        <v>29.365103766333586</v>
      </c>
      <c r="E39" s="81">
        <f t="shared" si="5"/>
        <v>29.5065334358186</v>
      </c>
      <c r="F39" s="80">
        <f t="shared" si="5"/>
        <v>30.85088393543428</v>
      </c>
      <c r="G39" s="80">
        <f t="shared" si="5"/>
        <v>30.573405073020748</v>
      </c>
      <c r="H39" s="80">
        <f t="shared" si="5"/>
        <v>32.881629515757105</v>
      </c>
      <c r="I39" s="80">
        <f t="shared" si="5"/>
        <v>32.45349730976172</v>
      </c>
      <c r="J39" s="79">
        <f t="shared" si="5"/>
        <v>32.90468870099922</v>
      </c>
      <c r="K39" s="80">
        <f t="shared" si="5"/>
        <v>34.70099923136049</v>
      </c>
      <c r="L39" s="80">
        <f t="shared" si="5"/>
        <v>36.449654112221374</v>
      </c>
      <c r="M39" s="81">
        <f t="shared" si="5"/>
        <v>37.543428132205996</v>
      </c>
      <c r="N39" s="79">
        <f t="shared" si="5"/>
        <v>39.44427363566487</v>
      </c>
      <c r="O39" s="80">
        <f t="shared" si="5"/>
        <v>40.585703305149885</v>
      </c>
      <c r="P39" s="80">
        <f t="shared" si="5"/>
        <v>42.501921598770174</v>
      </c>
      <c r="Q39" s="80">
        <f t="shared" si="5"/>
        <v>43.43428132205995</v>
      </c>
      <c r="R39" s="79">
        <f t="shared" si="5"/>
        <v>44.44273635664873</v>
      </c>
      <c r="S39" s="80">
        <f t="shared" si="5"/>
        <v>45.745580322828594</v>
      </c>
      <c r="T39" s="80">
        <f t="shared" si="5"/>
        <v>47.6141429669485</v>
      </c>
      <c r="U39" s="81">
        <f t="shared" si="5"/>
        <v>49.298232129131435</v>
      </c>
      <c r="V39" s="79">
        <f t="shared" si="5"/>
        <v>51.89162182936203</v>
      </c>
      <c r="W39" s="80">
        <f t="shared" si="5"/>
        <v>53.64181398923905</v>
      </c>
      <c r="X39" s="80">
        <f aca="true" t="shared" si="6" ref="X39:AF39">+X38/X37*1000000</f>
        <v>57.0707148347425</v>
      </c>
      <c r="Y39" s="80">
        <f t="shared" si="6"/>
        <v>62.51960030745579</v>
      </c>
      <c r="Z39" s="79">
        <f t="shared" si="6"/>
        <v>63.308993082244434</v>
      </c>
      <c r="AA39" s="80">
        <f t="shared" si="6"/>
        <v>62.49961568024596</v>
      </c>
      <c r="AB39" s="80">
        <f t="shared" si="6"/>
        <v>63.56033820138356</v>
      </c>
      <c r="AC39" s="81">
        <f>+AC38/AC37*1000000</f>
        <v>66.30514988470406</v>
      </c>
      <c r="AD39" s="80">
        <f>+AD38/AD37*1000000</f>
        <v>68.29823212913143</v>
      </c>
      <c r="AE39" s="80">
        <f>+AE38/AE37*1000000</f>
        <v>70.39738662567255</v>
      </c>
      <c r="AF39" s="80">
        <f t="shared" si="6"/>
        <v>76.3382013835511</v>
      </c>
      <c r="AG39" s="80">
        <f aca="true" t="shared" si="7" ref="AG39:AQ39">+AG38/AG37*1000000</f>
        <v>80.35357417371253</v>
      </c>
      <c r="AH39" s="79">
        <f t="shared" si="7"/>
        <v>78.62797847809378</v>
      </c>
      <c r="AI39" s="80">
        <f t="shared" si="7"/>
        <v>73.45196003074558</v>
      </c>
      <c r="AJ39" s="80">
        <f t="shared" si="7"/>
        <v>79.1837048424289</v>
      </c>
      <c r="AK39" s="80">
        <f t="shared" si="7"/>
        <v>82.07455803228285</v>
      </c>
      <c r="AL39" s="79">
        <f t="shared" si="7"/>
        <v>81.99615680245965</v>
      </c>
      <c r="AM39" s="80">
        <f t="shared" si="7"/>
        <v>83.09069946195234</v>
      </c>
      <c r="AN39" s="80">
        <f t="shared" si="7"/>
        <v>84.37125288239817</v>
      </c>
      <c r="AO39" s="81">
        <f>+AO38/AO37*1000000</f>
        <v>80.51421983089931</v>
      </c>
      <c r="AP39" s="80">
        <f>+AP38/AP37*1000000</f>
        <v>82.91544965411222</v>
      </c>
      <c r="AQ39" s="80">
        <f t="shared" si="7"/>
        <v>85.73481936971561</v>
      </c>
    </row>
    <row r="40" spans="1:43" ht="12.75">
      <c r="A40" s="38" t="s">
        <v>182</v>
      </c>
      <c r="B40" s="79">
        <f aca="true" t="shared" si="8" ref="B40:W40">(B10/B37)*1000000</f>
        <v>1.2867025365103772</v>
      </c>
      <c r="C40" s="80">
        <f t="shared" si="8"/>
        <v>1.2897770945426608</v>
      </c>
      <c r="D40" s="80">
        <f t="shared" si="8"/>
        <v>1.5219062259800151</v>
      </c>
      <c r="E40" s="81">
        <f t="shared" si="8"/>
        <v>0.7494235203689463</v>
      </c>
      <c r="F40" s="80">
        <f t="shared" si="8"/>
        <v>1.3358954650269033</v>
      </c>
      <c r="G40" s="80">
        <f t="shared" si="8"/>
        <v>1.7963105303612599</v>
      </c>
      <c r="H40" s="80">
        <f t="shared" si="8"/>
        <v>1.2828593389700236</v>
      </c>
      <c r="I40" s="80">
        <f t="shared" si="8"/>
        <v>-0.991544965411222</v>
      </c>
      <c r="J40" s="79">
        <f t="shared" si="8"/>
        <v>0.6210607225211366</v>
      </c>
      <c r="K40" s="80">
        <f t="shared" si="8"/>
        <v>1.4043043812451959</v>
      </c>
      <c r="L40" s="80">
        <f t="shared" si="8"/>
        <v>1.6202920830130665</v>
      </c>
      <c r="M40" s="81">
        <f t="shared" si="8"/>
        <v>0.9285165257494228</v>
      </c>
      <c r="N40" s="79">
        <f t="shared" si="8"/>
        <v>1.3643351268255186</v>
      </c>
      <c r="O40" s="80">
        <f t="shared" si="8"/>
        <v>1.471944657955419</v>
      </c>
      <c r="P40" s="80">
        <f t="shared" si="8"/>
        <v>1.4788624135280544</v>
      </c>
      <c r="Q40" s="80">
        <f t="shared" si="8"/>
        <v>1.4734819369715602</v>
      </c>
      <c r="R40" s="79">
        <f t="shared" si="8"/>
        <v>1.6333589546502687</v>
      </c>
      <c r="S40" s="80">
        <f t="shared" si="8"/>
        <v>1.7978478093774015</v>
      </c>
      <c r="T40" s="80">
        <f t="shared" si="8"/>
        <v>1.691775557263643</v>
      </c>
      <c r="U40" s="81">
        <f t="shared" si="8"/>
        <v>1.641813989239047</v>
      </c>
      <c r="V40" s="79">
        <f t="shared" si="8"/>
        <v>2.0868562644119915</v>
      </c>
      <c r="W40" s="80">
        <f t="shared" si="8"/>
        <v>1.2882398155265178</v>
      </c>
      <c r="X40" s="80">
        <f aca="true" t="shared" si="9" ref="X40:AF40">(X10/X37)*1000000</f>
        <v>1.5618754803996913</v>
      </c>
      <c r="Y40" s="80">
        <f t="shared" si="9"/>
        <v>1.4604150653343584</v>
      </c>
      <c r="Z40" s="79">
        <f t="shared" si="9"/>
        <v>1.996156802459646</v>
      </c>
      <c r="AA40" s="80">
        <f t="shared" si="9"/>
        <v>1.66717909300538</v>
      </c>
      <c r="AB40" s="80">
        <f t="shared" si="9"/>
        <v>1.8016910069177574</v>
      </c>
      <c r="AC40" s="81">
        <f t="shared" si="9"/>
        <v>1.9254419677171406</v>
      </c>
      <c r="AD40" s="80">
        <f t="shared" si="9"/>
        <v>1.9569561875480384</v>
      </c>
      <c r="AE40" s="80">
        <f t="shared" si="9"/>
        <v>2.169869331283628</v>
      </c>
      <c r="AF40" s="80">
        <f t="shared" si="9"/>
        <v>2.098385857033053</v>
      </c>
      <c r="AG40" s="80">
        <f aca="true" t="shared" si="10" ref="AG40:AQ40">(AG10/AG37)*1000000</f>
        <v>1.7740199846272096</v>
      </c>
      <c r="AH40" s="79">
        <f t="shared" si="10"/>
        <v>2.0061491160645657</v>
      </c>
      <c r="AI40" s="80">
        <f t="shared" si="10"/>
        <v>2.6487317448116836</v>
      </c>
      <c r="AJ40" s="80">
        <f t="shared" si="10"/>
        <v>2.426594926979247</v>
      </c>
      <c r="AK40" s="80">
        <f t="shared" si="10"/>
        <v>1.5810914681014605</v>
      </c>
      <c r="AL40" s="79">
        <f t="shared" si="10"/>
        <v>1.9923136049192927</v>
      </c>
      <c r="AM40" s="80">
        <f t="shared" si="10"/>
        <v>3.1275941583397393</v>
      </c>
      <c r="AN40" s="80">
        <f t="shared" si="10"/>
        <v>2.551883166794775</v>
      </c>
      <c r="AO40" s="81">
        <f>(AO10/AO37)*1000000</f>
        <v>1.959262106072252</v>
      </c>
      <c r="AP40" s="80">
        <f>(AP10/AP37)*1000000</f>
        <v>2.307455803228286</v>
      </c>
      <c r="AQ40" s="80">
        <f t="shared" si="10"/>
        <v>2.7701767870868537</v>
      </c>
    </row>
    <row r="41" spans="1:43" ht="12.75">
      <c r="A41" s="38" t="s">
        <v>198</v>
      </c>
      <c r="B41" s="39">
        <f>(+B42*B37)/1000000</f>
        <v>9887.6</v>
      </c>
      <c r="C41" s="40">
        <f>+(C42*C37)/1000000</f>
        <v>13049.03</v>
      </c>
      <c r="D41" s="40">
        <f>(+D42*D37)/1000000</f>
        <v>11839.1</v>
      </c>
      <c r="E41" s="40">
        <f>(+E42*E37)/1000000</f>
        <v>9432.25</v>
      </c>
      <c r="F41" s="39">
        <f>(+F42*F37)/1000000</f>
        <v>6895.3</v>
      </c>
      <c r="G41" s="40">
        <f>+(G42*G37)/1000000</f>
        <v>5399.15</v>
      </c>
      <c r="H41" s="40">
        <f>(+H42*H37)/1000000</f>
        <v>6648.11</v>
      </c>
      <c r="I41" s="40">
        <f>(+I42*I37)/1000000</f>
        <v>5594.3</v>
      </c>
      <c r="J41" s="39">
        <f>(+J42*J37)/1000000</f>
        <v>2758.12</v>
      </c>
      <c r="K41" s="40">
        <f>+(K42*K37)/1000000</f>
        <v>4566.51</v>
      </c>
      <c r="L41" s="40">
        <f>(+L42*L37)/1000000</f>
        <v>8326.4</v>
      </c>
      <c r="M41" s="40">
        <f>(+M42*M37)/1000000</f>
        <v>10147.8</v>
      </c>
      <c r="N41" s="39">
        <f>(+N42*N37)/1000000</f>
        <v>9705.46</v>
      </c>
      <c r="O41" s="40">
        <f>+(O42*O37)/1000000</f>
        <v>9822.55</v>
      </c>
      <c r="P41" s="40">
        <f>(+P42*P37)/1000000</f>
        <v>10733.25</v>
      </c>
      <c r="Q41" s="40">
        <f>(+Q42*Q37)/1000000</f>
        <v>11630.94</v>
      </c>
      <c r="R41" s="39">
        <f>(+R42*R37)/1000000</f>
        <v>11630.94</v>
      </c>
      <c r="S41" s="40">
        <f>+(S42*S37)/1000000</f>
        <v>11227.63</v>
      </c>
      <c r="T41" s="40">
        <f aca="true" t="shared" si="11" ref="T41:Y41">(+T42*T37)/1000000</f>
        <v>9627.4</v>
      </c>
      <c r="U41" s="40">
        <f t="shared" si="11"/>
        <v>10225.86</v>
      </c>
      <c r="V41" s="39">
        <f t="shared" si="11"/>
        <v>11500.84</v>
      </c>
      <c r="W41" s="40">
        <f t="shared" si="11"/>
        <v>10616.16</v>
      </c>
      <c r="X41" s="40">
        <f t="shared" si="11"/>
        <v>10941.41</v>
      </c>
      <c r="Y41" s="40">
        <f t="shared" si="11"/>
        <v>11839.1</v>
      </c>
      <c r="Z41" s="39">
        <f aca="true" t="shared" si="12" ref="Z41:AF41">(+Z42*Z37)/1000000</f>
        <v>11813.08</v>
      </c>
      <c r="AA41" s="40">
        <f t="shared" si="12"/>
        <v>12315.266</v>
      </c>
      <c r="AB41" s="40">
        <f t="shared" si="12"/>
        <v>14571.2</v>
      </c>
      <c r="AC41" s="41">
        <f t="shared" si="12"/>
        <v>14746.835</v>
      </c>
      <c r="AD41" s="40">
        <f t="shared" si="12"/>
        <v>17238.25</v>
      </c>
      <c r="AE41" s="40">
        <f t="shared" si="12"/>
        <v>17251.26</v>
      </c>
      <c r="AF41" s="40">
        <f t="shared" si="12"/>
        <v>19254.8</v>
      </c>
      <c r="AG41" s="40">
        <f aca="true" t="shared" si="13" ref="AG41:AQ41">(+AG42*AG37)/1000000</f>
        <v>18200.99</v>
      </c>
      <c r="AH41" s="39">
        <f t="shared" si="13"/>
        <v>17797.68</v>
      </c>
      <c r="AI41" s="40">
        <f t="shared" si="13"/>
        <v>16522.7</v>
      </c>
      <c r="AJ41" s="40">
        <f t="shared" si="13"/>
        <v>15507.92</v>
      </c>
      <c r="AK41" s="40">
        <f t="shared" si="13"/>
        <v>15241.215</v>
      </c>
      <c r="AL41" s="39">
        <f t="shared" si="13"/>
        <v>15742.1</v>
      </c>
      <c r="AM41" s="40">
        <f t="shared" si="13"/>
        <v>16060.845</v>
      </c>
      <c r="AN41" s="40">
        <f t="shared" si="13"/>
        <v>19254.8</v>
      </c>
      <c r="AO41" s="41">
        <f>(+AO42*AO37)/1000000</f>
        <v>20998.14</v>
      </c>
      <c r="AP41" s="40">
        <f>(+AP42*AP37)/1000000</f>
        <v>22390.21</v>
      </c>
      <c r="AQ41" s="40">
        <f t="shared" si="13"/>
        <v>23730.24</v>
      </c>
    </row>
    <row r="42" spans="1:43" ht="12.75">
      <c r="A42" s="38" t="s">
        <v>196</v>
      </c>
      <c r="B42" s="39">
        <v>76</v>
      </c>
      <c r="C42" s="40">
        <v>100.3</v>
      </c>
      <c r="D42" s="40">
        <v>91</v>
      </c>
      <c r="E42" s="40">
        <v>72.5</v>
      </c>
      <c r="F42" s="39">
        <v>53</v>
      </c>
      <c r="G42" s="40">
        <v>41.5</v>
      </c>
      <c r="H42" s="40">
        <v>51.1</v>
      </c>
      <c r="I42" s="41">
        <v>43</v>
      </c>
      <c r="J42" s="39">
        <v>21.2</v>
      </c>
      <c r="K42" s="40">
        <v>35.1</v>
      </c>
      <c r="L42" s="40">
        <v>64</v>
      </c>
      <c r="M42" s="40">
        <v>78</v>
      </c>
      <c r="N42" s="39">
        <v>74.6</v>
      </c>
      <c r="O42" s="40">
        <v>75.5</v>
      </c>
      <c r="P42" s="40">
        <v>82.5</v>
      </c>
      <c r="Q42" s="41">
        <v>89.4</v>
      </c>
      <c r="R42" s="39">
        <v>89.4</v>
      </c>
      <c r="S42" s="40">
        <v>86.3</v>
      </c>
      <c r="T42" s="40">
        <v>74</v>
      </c>
      <c r="U42" s="41">
        <v>78.6</v>
      </c>
      <c r="V42" s="39">
        <v>88.4</v>
      </c>
      <c r="W42" s="40">
        <v>81.6</v>
      </c>
      <c r="X42" s="40">
        <v>84.1</v>
      </c>
      <c r="Y42" s="40">
        <v>91</v>
      </c>
      <c r="Z42" s="39">
        <v>90.8</v>
      </c>
      <c r="AA42" s="40">
        <v>94.66</v>
      </c>
      <c r="AB42" s="40">
        <v>112</v>
      </c>
      <c r="AC42" s="41">
        <v>113.35</v>
      </c>
      <c r="AD42" s="40">
        <v>132.5</v>
      </c>
      <c r="AE42" s="68">
        <v>132.6</v>
      </c>
      <c r="AF42" s="68">
        <v>148</v>
      </c>
      <c r="AG42" s="40">
        <v>139.9</v>
      </c>
      <c r="AH42" s="39">
        <v>136.8</v>
      </c>
      <c r="AI42" s="68">
        <v>127</v>
      </c>
      <c r="AJ42" s="68">
        <v>119.2</v>
      </c>
      <c r="AK42" s="40">
        <v>117.15</v>
      </c>
      <c r="AL42" s="39">
        <v>121</v>
      </c>
      <c r="AM42" s="68">
        <v>123.45</v>
      </c>
      <c r="AN42" s="68">
        <v>148</v>
      </c>
      <c r="AO42" s="41">
        <v>161.4</v>
      </c>
      <c r="AP42" s="40">
        <v>172.1</v>
      </c>
      <c r="AQ42" s="68">
        <v>182.4</v>
      </c>
    </row>
    <row r="43" spans="1:43" ht="12.75">
      <c r="A43" s="38"/>
      <c r="B43" s="26"/>
      <c r="C43" s="27"/>
      <c r="D43" s="27"/>
      <c r="E43" s="27"/>
      <c r="F43" s="26"/>
      <c r="G43" s="27"/>
      <c r="H43" s="27"/>
      <c r="I43" s="28"/>
      <c r="J43" s="26"/>
      <c r="K43" s="27"/>
      <c r="L43" s="27"/>
      <c r="M43" s="28"/>
      <c r="N43" s="26"/>
      <c r="O43" s="27"/>
      <c r="P43" s="27"/>
      <c r="Q43" s="28"/>
      <c r="R43" s="26"/>
      <c r="S43" s="27"/>
      <c r="T43" s="27"/>
      <c r="U43" s="28"/>
      <c r="V43" s="26"/>
      <c r="W43" s="27"/>
      <c r="X43" s="27"/>
      <c r="Y43" s="27"/>
      <c r="Z43" s="26"/>
      <c r="AA43" s="27"/>
      <c r="AB43" s="27"/>
      <c r="AC43" s="28"/>
      <c r="AD43" s="27"/>
      <c r="AE43" s="27"/>
      <c r="AF43" s="27"/>
      <c r="AG43" s="27"/>
      <c r="AH43" s="26"/>
      <c r="AI43" s="27"/>
      <c r="AJ43" s="27"/>
      <c r="AK43" s="27"/>
      <c r="AL43" s="26"/>
      <c r="AM43" s="27"/>
      <c r="AN43" s="27"/>
      <c r="AO43" s="28"/>
      <c r="AP43" s="27"/>
      <c r="AQ43" s="27"/>
    </row>
    <row r="44" spans="1:43" ht="12.75">
      <c r="A44" s="37" t="s">
        <v>193</v>
      </c>
      <c r="B44" s="26"/>
      <c r="C44" s="27"/>
      <c r="D44" s="27"/>
      <c r="E44" s="27"/>
      <c r="F44" s="26"/>
      <c r="G44" s="27"/>
      <c r="H44" s="27"/>
      <c r="I44" s="28"/>
      <c r="J44" s="26"/>
      <c r="K44" s="27"/>
      <c r="L44" s="27"/>
      <c r="M44" s="28"/>
      <c r="N44" s="26"/>
      <c r="O44" s="27"/>
      <c r="P44" s="27"/>
      <c r="Q44" s="28"/>
      <c r="R44" s="26"/>
      <c r="S44" s="27"/>
      <c r="T44" s="27"/>
      <c r="U44" s="28"/>
      <c r="V44" s="26"/>
      <c r="W44" s="27"/>
      <c r="X44" s="27"/>
      <c r="Y44" s="27"/>
      <c r="Z44" s="26"/>
      <c r="AA44" s="27"/>
      <c r="AB44" s="27"/>
      <c r="AC44" s="28"/>
      <c r="AD44" s="27"/>
      <c r="AE44" s="27"/>
      <c r="AF44" s="27"/>
      <c r="AG44" s="27"/>
      <c r="AH44" s="26"/>
      <c r="AI44" s="27"/>
      <c r="AJ44" s="27"/>
      <c r="AK44" s="27"/>
      <c r="AL44" s="26"/>
      <c r="AM44" s="27"/>
      <c r="AN44" s="27"/>
      <c r="AO44" s="28"/>
      <c r="AP44" s="27"/>
      <c r="AQ44" s="27"/>
    </row>
    <row r="45" spans="1:43" s="15" customFormat="1" ht="12.75">
      <c r="A45" s="38" t="s">
        <v>180</v>
      </c>
      <c r="B45" s="26">
        <v>2193</v>
      </c>
      <c r="C45" s="27">
        <v>2239</v>
      </c>
      <c r="D45" s="27">
        <v>2323</v>
      </c>
      <c r="E45" s="27">
        <v>2369</v>
      </c>
      <c r="F45" s="26">
        <v>2458</v>
      </c>
      <c r="G45" s="27">
        <v>2530</v>
      </c>
      <c r="H45" s="27">
        <v>2648</v>
      </c>
      <c r="I45" s="28">
        <v>2729</v>
      </c>
      <c r="J45" s="26">
        <v>2764</v>
      </c>
      <c r="K45" s="27">
        <v>2806</v>
      </c>
      <c r="L45" s="27">
        <v>2841</v>
      </c>
      <c r="M45" s="28">
        <v>2898</v>
      </c>
      <c r="N45" s="26">
        <v>2945</v>
      </c>
      <c r="O45" s="27">
        <v>2997</v>
      </c>
      <c r="P45" s="27">
        <v>3064</v>
      </c>
      <c r="Q45" s="28">
        <v>3117</v>
      </c>
      <c r="R45" s="26">
        <v>3150</v>
      </c>
      <c r="S45" s="27">
        <v>3180</v>
      </c>
      <c r="T45" s="27">
        <v>3197</v>
      </c>
      <c r="U45" s="28">
        <v>3226</v>
      </c>
      <c r="V45" s="26">
        <v>3274</v>
      </c>
      <c r="W45" s="27">
        <v>3294</v>
      </c>
      <c r="X45" s="27">
        <v>3346</v>
      </c>
      <c r="Y45" s="27">
        <v>3382</v>
      </c>
      <c r="Z45" s="26">
        <v>3413</v>
      </c>
      <c r="AA45" s="27">
        <v>3462</v>
      </c>
      <c r="AB45" s="27">
        <v>3495</v>
      </c>
      <c r="AC45" s="28">
        <v>3542</v>
      </c>
      <c r="AD45" s="26">
        <v>3545</v>
      </c>
      <c r="AE45" s="27">
        <v>3602</v>
      </c>
      <c r="AF45" s="27">
        <v>3668</v>
      </c>
      <c r="AG45" s="27">
        <v>3727</v>
      </c>
      <c r="AH45" s="26">
        <v>3806</v>
      </c>
      <c r="AI45" s="27">
        <v>3882</v>
      </c>
      <c r="AJ45" s="27">
        <v>3958</v>
      </c>
      <c r="AK45" s="27">
        <v>4015</v>
      </c>
      <c r="AL45" s="26">
        <v>4082</v>
      </c>
      <c r="AM45" s="27">
        <v>4149</v>
      </c>
      <c r="AN45" s="27">
        <v>4202</v>
      </c>
      <c r="AO45" s="28">
        <v>4272</v>
      </c>
      <c r="AP45" s="27">
        <v>4329</v>
      </c>
      <c r="AQ45" s="27">
        <v>4393</v>
      </c>
    </row>
    <row r="46" spans="1:43" s="15" customFormat="1" ht="12.75">
      <c r="A46" s="38" t="s">
        <v>170</v>
      </c>
      <c r="B46" s="26">
        <f>'Pozostałe informacje_other info'!B13</f>
        <v>350</v>
      </c>
      <c r="C46" s="27">
        <f>'Pozostałe informacje_other info'!C13</f>
        <v>361</v>
      </c>
      <c r="D46" s="27">
        <f>'Pozostałe informacje_other info'!D13</f>
        <v>375</v>
      </c>
      <c r="E46" s="27">
        <f>'Pozostałe informacje_other info'!E13</f>
        <v>404</v>
      </c>
      <c r="F46" s="26">
        <f>'Pozostałe informacje_other info'!F13</f>
        <v>415</v>
      </c>
      <c r="G46" s="27">
        <f>'Pozostałe informacje_other info'!G13</f>
        <v>430</v>
      </c>
      <c r="H46" s="27">
        <f>'Pozostałe informacje_other info'!H13</f>
        <v>432</v>
      </c>
      <c r="I46" s="28">
        <f>'Pozostałe informacje_other info'!I13</f>
        <v>439</v>
      </c>
      <c r="J46" s="26">
        <f>'Pozostałe informacje_other info'!J13</f>
        <v>439</v>
      </c>
      <c r="K46" s="27">
        <f>'Pozostałe informacje_other info'!K13</f>
        <v>438</v>
      </c>
      <c r="L46" s="27">
        <f>'Pozostałe informacje_other info'!L13</f>
        <v>438</v>
      </c>
      <c r="M46" s="28">
        <f>'Pozostałe informacje_other info'!M13</f>
        <v>441</v>
      </c>
      <c r="N46" s="26">
        <f>'Pozostałe informacje_other info'!N13</f>
        <v>441</v>
      </c>
      <c r="O46" s="27">
        <f>'Pozostałe informacje_other info'!O13</f>
        <v>442</v>
      </c>
      <c r="P46" s="27">
        <f>'Pozostałe informacje_other info'!P13</f>
        <v>441</v>
      </c>
      <c r="Q46" s="28">
        <f>'Pozostałe informacje_other info'!Q13</f>
        <v>443</v>
      </c>
      <c r="R46" s="26">
        <f>'Pozostałe informacje_other info'!R13</f>
        <v>445</v>
      </c>
      <c r="S46" s="27">
        <f>'Pozostałe informacje_other info'!S13</f>
        <v>443</v>
      </c>
      <c r="T46" s="27">
        <f>'Pozostałe informacje_other info'!T13</f>
        <v>441</v>
      </c>
      <c r="U46" s="28">
        <f>'Pozostałe informacje_other info'!U13</f>
        <v>439</v>
      </c>
      <c r="V46" s="26">
        <f>'Pozostałe informacje_other info'!V13</f>
        <v>438</v>
      </c>
      <c r="W46" s="27">
        <f>'Pozostałe informacje_other info'!W13</f>
        <v>437</v>
      </c>
      <c r="X46" s="27">
        <f>'Pozostałe informacje_other info'!X13</f>
        <v>432</v>
      </c>
      <c r="Y46" s="27">
        <f>'Pozostałe informacje_other info'!Y13</f>
        <v>426</v>
      </c>
      <c r="Z46" s="26">
        <f>'Pozostałe informacje_other info'!Z13</f>
        <v>423</v>
      </c>
      <c r="AA46" s="27">
        <f>'Pozostałe informacje_other info'!AA13</f>
        <v>421</v>
      </c>
      <c r="AB46" s="27">
        <f>'Pozostałe informacje_other info'!AB13</f>
        <v>421</v>
      </c>
      <c r="AC46" s="28">
        <f>'Pozostałe informacje_other info'!AC13</f>
        <v>417</v>
      </c>
      <c r="AD46" s="27">
        <f>'Pozostałe informacje_other info'!AD13</f>
        <v>412</v>
      </c>
      <c r="AE46" s="27">
        <f>'Pozostałe informacje_other info'!AE13</f>
        <v>409</v>
      </c>
      <c r="AF46" s="27">
        <f>'Pozostałe informacje_other info'!AF13</f>
        <v>407</v>
      </c>
      <c r="AG46" s="27">
        <f>'Pozostałe informacje_other info'!AG13</f>
        <v>401</v>
      </c>
      <c r="AH46" s="26">
        <f>'Pozostałe informacje_other info'!AH13</f>
        <v>401</v>
      </c>
      <c r="AI46" s="27">
        <f>'Pozostałe informacje_other info'!AI13</f>
        <v>399</v>
      </c>
      <c r="AJ46" s="27">
        <f>'Pozostałe informacje_other info'!AJ13</f>
        <v>398</v>
      </c>
      <c r="AK46" s="27">
        <f>'Pozostałe informacje_other info'!AK13</f>
        <v>395</v>
      </c>
      <c r="AL46" s="26">
        <f>'Pozostałe informacje_other info'!AL13</f>
        <v>394</v>
      </c>
      <c r="AM46" s="27">
        <f>'Pozostałe informacje_other info'!AM13</f>
        <v>391</v>
      </c>
      <c r="AN46" s="27">
        <f>'Pozostałe informacje_other info'!AN13</f>
        <v>386</v>
      </c>
      <c r="AO46" s="28">
        <f>'Pozostałe informacje_other info'!AO13</f>
        <v>384</v>
      </c>
      <c r="AP46" s="27">
        <f>'Pozostałe informacje_other info'!AP13</f>
        <v>381</v>
      </c>
      <c r="AQ46" s="27">
        <f>'Pozostałe informacje_other info'!AQ13</f>
        <v>374</v>
      </c>
    </row>
    <row r="47" spans="1:43" s="15" customFormat="1" ht="12.75">
      <c r="A47" s="38" t="s">
        <v>181</v>
      </c>
      <c r="B47" s="26">
        <f>'Pozostałe informacje_other info'!B7</f>
        <v>7578</v>
      </c>
      <c r="C47" s="27">
        <f>'Pozostałe informacje_other info'!C7</f>
        <v>7676</v>
      </c>
      <c r="D47" s="27">
        <f>'Pozostałe informacje_other info'!D7</f>
        <v>7828</v>
      </c>
      <c r="E47" s="27">
        <f>'Pozostałe informacje_other info'!E7</f>
        <v>8048</v>
      </c>
      <c r="F47" s="26">
        <f>'Pozostałe informacje_other info'!F7</f>
        <v>8137</v>
      </c>
      <c r="G47" s="27">
        <f>'Pozostałe informacje_other info'!G7</f>
        <v>8318</v>
      </c>
      <c r="H47" s="27">
        <f>'Pozostałe informacje_other info'!H7</f>
        <v>8330</v>
      </c>
      <c r="I47" s="28">
        <f>'Pozostałe informacje_other info'!I7</f>
        <v>8454</v>
      </c>
      <c r="J47" s="26">
        <f>'Pozostałe informacje_other info'!J7</f>
        <v>8368</v>
      </c>
      <c r="K47" s="27">
        <f>'Pozostałe informacje_other info'!K7</f>
        <v>8196</v>
      </c>
      <c r="L47" s="27">
        <f>'Pozostałe informacje_other info'!L7</f>
        <v>8092</v>
      </c>
      <c r="M47" s="28">
        <f>'Pozostałe informacje_other info'!M7</f>
        <v>8064</v>
      </c>
      <c r="N47" s="26">
        <f>'Pozostałe informacje_other info'!N7</f>
        <v>8084</v>
      </c>
      <c r="O47" s="27">
        <f>'Pozostałe informacje_other info'!O7</f>
        <v>8183</v>
      </c>
      <c r="P47" s="27">
        <f>'Pozostałe informacje_other info'!P7</f>
        <v>8366</v>
      </c>
      <c r="Q47" s="28">
        <f>'Pozostałe informacje_other info'!Q7</f>
        <v>8314</v>
      </c>
      <c r="R47" s="26">
        <f>'Pozostałe informacje_other info'!R7</f>
        <v>8358</v>
      </c>
      <c r="S47" s="27">
        <f>'Pozostałe informacje_other info'!S7</f>
        <v>8357</v>
      </c>
      <c r="T47" s="27">
        <f>'Pozostałe informacje_other info'!T7</f>
        <v>8212</v>
      </c>
      <c r="U47" s="28">
        <f>'Pozostałe informacje_other info'!U7</f>
        <v>8344</v>
      </c>
      <c r="V47" s="26">
        <f>'Pozostałe informacje_other info'!V7</f>
        <v>8608</v>
      </c>
      <c r="W47" s="27">
        <f>'Pozostałe informacje_other info'!W7</f>
        <v>8639</v>
      </c>
      <c r="X47" s="27">
        <f>'Pozostałe informacje_other info'!X7</f>
        <v>8633</v>
      </c>
      <c r="Y47" s="28">
        <f>'Pozostałe informacje_other info'!Y7</f>
        <v>8603</v>
      </c>
      <c r="Z47" s="26">
        <f>'Pozostałe informacje_other info'!Z7</f>
        <v>8569</v>
      </c>
      <c r="AA47" s="27">
        <f>'Pozostałe informacje_other info'!AA7</f>
        <v>8511</v>
      </c>
      <c r="AB47" s="27">
        <f>'Pozostałe informacje_other info'!AB7</f>
        <v>8449</v>
      </c>
      <c r="AC47" s="28">
        <f>'Pozostałe informacje_other info'!AC7</f>
        <v>8396</v>
      </c>
      <c r="AD47" s="27">
        <f>'Pozostałe informacje_other info'!AD7</f>
        <v>8327</v>
      </c>
      <c r="AE47" s="27">
        <f>'Pozostałe informacje_other info'!AE7</f>
        <v>8302</v>
      </c>
      <c r="AF47" s="27">
        <f>'Pozostałe informacje_other info'!AF7</f>
        <v>8302</v>
      </c>
      <c r="AG47" s="27">
        <f>'Pozostałe informacje_other info'!AG7</f>
        <v>8287</v>
      </c>
      <c r="AH47" s="26">
        <f>'Pozostałe informacje_other info'!AH7</f>
        <v>8332</v>
      </c>
      <c r="AI47" s="27">
        <f>'Pozostałe informacje_other info'!AI7</f>
        <v>8338</v>
      </c>
      <c r="AJ47" s="27">
        <f>'Pozostałe informacje_other info'!AJ7</f>
        <v>8314</v>
      </c>
      <c r="AK47" s="27">
        <f>'Pozostałe informacje_other info'!AK7</f>
        <v>8274</v>
      </c>
      <c r="AL47" s="26">
        <f>'Pozostałe informacje_other info'!AL7</f>
        <v>8271</v>
      </c>
      <c r="AM47" s="27">
        <f>'Pozostałe informacje_other info'!AM7</f>
        <v>8245</v>
      </c>
      <c r="AN47" s="27">
        <f>'Pozostałe informacje_other info'!AN7</f>
        <v>8179</v>
      </c>
      <c r="AO47" s="28">
        <f>'Pozostałe informacje_other info'!AO7</f>
        <v>8025</v>
      </c>
      <c r="AP47" s="27">
        <f>'Pozostałe informacje_other info'!AP7</f>
        <v>7966</v>
      </c>
      <c r="AQ47" s="27">
        <f>'Pozostałe informacje_other info'!AQ7</f>
        <v>7980</v>
      </c>
    </row>
    <row r="48" spans="1:43" ht="12.75">
      <c r="A48" s="30"/>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H48" s="82"/>
      <c r="AI48" s="84"/>
      <c r="AL48" s="82"/>
      <c r="AM48" s="84"/>
      <c r="AN48" s="84"/>
      <c r="AO48" s="84"/>
      <c r="AP48" s="84"/>
      <c r="AQ48" s="84"/>
    </row>
    <row r="49" spans="1:43" ht="12.75">
      <c r="A49" s="83" t="s">
        <v>215</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H49" s="84"/>
      <c r="AI49" s="84"/>
      <c r="AL49" s="84"/>
      <c r="AM49" s="84"/>
      <c r="AN49" s="84"/>
      <c r="AO49" s="84"/>
      <c r="AP49" s="84"/>
      <c r="AQ49" s="84"/>
    </row>
    <row r="50" spans="1:43" ht="12.75">
      <c r="A50" s="321" t="s">
        <v>365</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H50" s="84"/>
      <c r="AI50" s="84"/>
      <c r="AL50" s="84"/>
      <c r="AM50" s="84"/>
      <c r="AN50" s="84"/>
      <c r="AO50" s="84"/>
      <c r="AP50" s="84"/>
      <c r="AQ50" s="84"/>
    </row>
    <row r="51" spans="1:43" ht="12.75">
      <c r="A51" s="83" t="s">
        <v>366</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H51" s="85"/>
      <c r="AI51" s="85"/>
      <c r="AL51" s="85"/>
      <c r="AM51" s="85"/>
      <c r="AN51" s="85"/>
      <c r="AO51" s="85"/>
      <c r="AP51" s="85"/>
      <c r="AQ51" s="85"/>
    </row>
    <row r="52" spans="1:43" ht="12.75">
      <c r="A52" s="83" t="s">
        <v>367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H52" s="85"/>
      <c r="AI52" s="85"/>
      <c r="AL52" s="85"/>
      <c r="AM52" s="85"/>
      <c r="AN52" s="85"/>
      <c r="AO52" s="85"/>
      <c r="AP52" s="85"/>
      <c r="AQ52" s="85"/>
    </row>
    <row r="53" spans="1:43" ht="12.75">
      <c r="A53" s="83" t="s">
        <v>368</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H53" s="84"/>
      <c r="AI53" s="84"/>
      <c r="AL53" s="84"/>
      <c r="AM53" s="84"/>
      <c r="AN53" s="84"/>
      <c r="AO53" s="84"/>
      <c r="AP53" s="84"/>
      <c r="AQ53" s="84"/>
    </row>
    <row r="54" spans="1:43" ht="12.75">
      <c r="A54" s="83" t="s">
        <v>369</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H54" s="84"/>
      <c r="AI54" s="84"/>
      <c r="AL54" s="84"/>
      <c r="AM54" s="84"/>
      <c r="AN54" s="84"/>
      <c r="AO54" s="84"/>
      <c r="AP54" s="84"/>
      <c r="AQ54" s="84"/>
    </row>
    <row r="55" spans="34:43" ht="12.75">
      <c r="AH55" s="25"/>
      <c r="AI55" s="25"/>
      <c r="AL55" s="25"/>
      <c r="AM55" s="25"/>
      <c r="AN55" s="25"/>
      <c r="AO55" s="25"/>
      <c r="AP55" s="25"/>
      <c r="AQ55" s="25"/>
    </row>
    <row r="56" ht="12.75">
      <c r="A56" s="1"/>
    </row>
    <row r="57" ht="12.75">
      <c r="A57" s="1"/>
    </row>
  </sheetData>
  <sheetProtection/>
  <mergeCells count="12">
    <mergeCell ref="AP2:AQ2"/>
    <mergeCell ref="AH2:AK2"/>
    <mergeCell ref="R2:U2"/>
    <mergeCell ref="A2:A3"/>
    <mergeCell ref="B2:E2"/>
    <mergeCell ref="F2:I2"/>
    <mergeCell ref="J2:M2"/>
    <mergeCell ref="AL2:AO2"/>
    <mergeCell ref="N2:Q2"/>
    <mergeCell ref="AD2:AG2"/>
    <mergeCell ref="Z2:AC2"/>
    <mergeCell ref="V2:Y2"/>
  </mergeCells>
  <printOptions horizontalCentered="1"/>
  <pageMargins left="0.25" right="0.25" top="0.75" bottom="0.75" header="0.3" footer="0.3"/>
  <pageSetup fitToHeight="0" fitToWidth="1" horizontalDpi="600" verticalDpi="600" orientation="landscape" paperSize="9" scale="31" r:id="rId1"/>
  <headerFooter alignWithMargins="0">
    <oddHeader>&amp;C&amp;"Times New Roman,Kursywa"&amp;12
</oddHeader>
  </headerFooter>
  <ignoredErrors>
    <ignoredError sqref="O41:S41 K41 C41:G41" formula="1"/>
  </ignoredErrors>
</worksheet>
</file>

<file path=xl/worksheets/sheet10.xml><?xml version="1.0" encoding="utf-8"?>
<worksheet xmlns="http://schemas.openxmlformats.org/spreadsheetml/2006/main" xmlns:r="http://schemas.openxmlformats.org/officeDocument/2006/relationships">
  <dimension ref="A1:AQ40"/>
  <sheetViews>
    <sheetView showGridLines="0" view="pageBreakPreview" zoomScaleSheetLayoutView="100" zoomScalePageLayoutView="0" workbookViewId="0" topLeftCell="A2">
      <pane xSplit="1" ySplit="3" topLeftCell="U5" activePane="bottomRight" state="frozen"/>
      <selection pane="topLeft" activeCell="B2" sqref="B2:B3"/>
      <selection pane="topRight" activeCell="B2" sqref="B2:B3"/>
      <selection pane="bottomLeft" activeCell="B2" sqref="B2:B3"/>
      <selection pane="bottomRight" activeCell="A3" sqref="A3:A4"/>
    </sheetView>
  </sheetViews>
  <sheetFormatPr defaultColWidth="8.875" defaultRowHeight="12.75" outlineLevelCol="1"/>
  <cols>
    <col min="1" max="1" width="47.75390625" style="2" customWidth="1"/>
    <col min="2" max="5" width="7.875" style="3" hidden="1" customWidth="1" outlineLevel="1"/>
    <col min="6" max="6" width="7.00390625" style="3" bestFit="1" customWidth="1" collapsed="1"/>
    <col min="7" max="7" width="7.00390625" style="3" customWidth="1"/>
    <col min="8" max="41" width="7.00390625" style="3" bestFit="1" customWidth="1"/>
    <col min="42" max="42" width="7.375" style="3" bestFit="1" customWidth="1"/>
    <col min="43" max="43" width="7.00390625" style="3" bestFit="1" customWidth="1"/>
    <col min="44" max="16384" width="8.875" style="3" customWidth="1"/>
  </cols>
  <sheetData>
    <row r="1" spans="2:6" ht="22.5">
      <c r="B1" s="118" t="s">
        <v>217</v>
      </c>
      <c r="C1" s="118" t="s">
        <v>217</v>
      </c>
      <c r="D1" s="118" t="s">
        <v>217</v>
      </c>
      <c r="E1" s="118" t="s">
        <v>217</v>
      </c>
      <c r="F1" s="118" t="s">
        <v>217</v>
      </c>
    </row>
    <row r="2" spans="1:42" s="4" customFormat="1" ht="12.75" customHeight="1">
      <c r="A2" s="246" t="s">
        <v>281</v>
      </c>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row>
    <row r="3" spans="1:43" ht="12.75" customHeight="1">
      <c r="A3" s="332" t="s">
        <v>139</v>
      </c>
      <c r="B3" s="334" t="s">
        <v>260</v>
      </c>
      <c r="C3" s="335"/>
      <c r="D3" s="335"/>
      <c r="E3" s="335"/>
      <c r="F3" s="334">
        <v>2008</v>
      </c>
      <c r="G3" s="335"/>
      <c r="H3" s="335"/>
      <c r="I3" s="335"/>
      <c r="J3" s="334">
        <v>2009</v>
      </c>
      <c r="K3" s="335"/>
      <c r="L3" s="335"/>
      <c r="M3" s="335"/>
      <c r="N3" s="334">
        <v>2010</v>
      </c>
      <c r="O3" s="335"/>
      <c r="P3" s="335"/>
      <c r="Q3" s="335"/>
      <c r="R3" s="334">
        <v>2011</v>
      </c>
      <c r="S3" s="335"/>
      <c r="T3" s="335"/>
      <c r="U3" s="335"/>
      <c r="V3" s="348">
        <v>2012</v>
      </c>
      <c r="W3" s="349"/>
      <c r="X3" s="349"/>
      <c r="Y3" s="350"/>
      <c r="Z3" s="348">
        <v>2013</v>
      </c>
      <c r="AA3" s="349"/>
      <c r="AB3" s="349"/>
      <c r="AC3" s="350"/>
      <c r="AD3" s="340">
        <v>2014</v>
      </c>
      <c r="AE3" s="335"/>
      <c r="AF3" s="335"/>
      <c r="AG3" s="336"/>
      <c r="AH3" s="340">
        <v>2015</v>
      </c>
      <c r="AI3" s="335"/>
      <c r="AJ3" s="335"/>
      <c r="AK3" s="336"/>
      <c r="AL3" s="340">
        <v>2016</v>
      </c>
      <c r="AM3" s="335"/>
      <c r="AN3" s="335"/>
      <c r="AO3" s="336"/>
      <c r="AP3" s="346">
        <v>2017</v>
      </c>
      <c r="AQ3" s="347"/>
    </row>
    <row r="4" spans="1:43" s="4" customFormat="1" ht="12.75" customHeight="1">
      <c r="A4" s="333"/>
      <c r="B4" s="34" t="s">
        <v>259</v>
      </c>
      <c r="C4" s="35" t="s">
        <v>1</v>
      </c>
      <c r="D4" s="35" t="s">
        <v>2</v>
      </c>
      <c r="E4" s="35" t="s">
        <v>3</v>
      </c>
      <c r="F4" s="34" t="s">
        <v>258</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34" t="s">
        <v>0</v>
      </c>
      <c r="AA4" s="35" t="s">
        <v>1</v>
      </c>
      <c r="AB4" s="35" t="s">
        <v>2</v>
      </c>
      <c r="AC4" s="36" t="s">
        <v>3</v>
      </c>
      <c r="AD4" s="190" t="s">
        <v>0</v>
      </c>
      <c r="AE4" s="191" t="s">
        <v>1</v>
      </c>
      <c r="AF4" s="191" t="s">
        <v>2</v>
      </c>
      <c r="AG4" s="192" t="s">
        <v>3</v>
      </c>
      <c r="AH4" s="191" t="s">
        <v>0</v>
      </c>
      <c r="AI4" s="191" t="s">
        <v>1</v>
      </c>
      <c r="AJ4" s="191" t="s">
        <v>2</v>
      </c>
      <c r="AK4" s="192" t="s">
        <v>3</v>
      </c>
      <c r="AL4" s="191" t="s">
        <v>0</v>
      </c>
      <c r="AM4" s="191" t="s">
        <v>1</v>
      </c>
      <c r="AN4" s="191" t="s">
        <v>2</v>
      </c>
      <c r="AO4" s="192" t="s">
        <v>3</v>
      </c>
      <c r="AP4" s="191" t="s">
        <v>0</v>
      </c>
      <c r="AQ4" s="191" t="s">
        <v>1</v>
      </c>
    </row>
    <row r="5" spans="1:43" s="4" customFormat="1" ht="12.75">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307"/>
      <c r="AE5" s="3"/>
      <c r="AF5" s="3"/>
      <c r="AG5" s="308"/>
      <c r="AH5" s="3"/>
      <c r="AI5" s="3"/>
      <c r="AJ5" s="3"/>
      <c r="AK5" s="308"/>
      <c r="AL5" s="3"/>
      <c r="AM5" s="3"/>
      <c r="AN5" s="3"/>
      <c r="AO5" s="308"/>
      <c r="AP5" s="3"/>
      <c r="AQ5" s="3"/>
    </row>
    <row r="6" spans="1:43" s="7" customFormat="1" ht="12.75">
      <c r="A6" s="88" t="s">
        <v>140</v>
      </c>
      <c r="B6" s="119"/>
      <c r="C6" s="120"/>
      <c r="D6" s="120"/>
      <c r="E6" s="120"/>
      <c r="F6" s="119"/>
      <c r="G6" s="40"/>
      <c r="H6" s="40"/>
      <c r="I6" s="41"/>
      <c r="J6" s="39"/>
      <c r="K6" s="40"/>
      <c r="L6" s="40"/>
      <c r="M6" s="41"/>
      <c r="N6" s="39"/>
      <c r="O6" s="40"/>
      <c r="P6" s="40"/>
      <c r="Q6" s="41"/>
      <c r="R6" s="39"/>
      <c r="S6" s="40"/>
      <c r="T6" s="40"/>
      <c r="U6" s="41"/>
      <c r="V6" s="39"/>
      <c r="W6" s="40"/>
      <c r="X6" s="40"/>
      <c r="Y6" s="41"/>
      <c r="Z6" s="39"/>
      <c r="AA6" s="40"/>
      <c r="AB6" s="40"/>
      <c r="AC6" s="41"/>
      <c r="AD6" s="39"/>
      <c r="AE6" s="40"/>
      <c r="AF6" s="40"/>
      <c r="AG6" s="41"/>
      <c r="AH6" s="40"/>
      <c r="AI6" s="40"/>
      <c r="AJ6" s="40"/>
      <c r="AK6" s="41"/>
      <c r="AL6" s="40"/>
      <c r="AM6" s="40"/>
      <c r="AN6" s="40"/>
      <c r="AO6" s="41"/>
      <c r="AP6" s="40"/>
      <c r="AQ6" s="40"/>
    </row>
    <row r="7" spans="1:43" s="7" customFormat="1" ht="12.75">
      <c r="A7" s="37" t="s">
        <v>141</v>
      </c>
      <c r="B7" s="121"/>
      <c r="C7" s="122"/>
      <c r="D7" s="122"/>
      <c r="E7" s="122"/>
      <c r="F7" s="121"/>
      <c r="G7" s="47">
        <f aca="true" t="shared" si="0" ref="G7:AA7">G8+G9</f>
        <v>14090.5</v>
      </c>
      <c r="H7" s="47">
        <f t="shared" si="0"/>
        <v>15666.1</v>
      </c>
      <c r="I7" s="48">
        <f t="shared" si="0"/>
        <v>16997.100000000002</v>
      </c>
      <c r="J7" s="46">
        <f t="shared" si="0"/>
        <v>17573.5</v>
      </c>
      <c r="K7" s="47">
        <f t="shared" si="0"/>
        <v>17136.9</v>
      </c>
      <c r="L7" s="47">
        <f t="shared" si="0"/>
        <v>16943.8</v>
      </c>
      <c r="M7" s="48">
        <f t="shared" si="0"/>
        <v>17604.600000000002</v>
      </c>
      <c r="N7" s="46">
        <f t="shared" si="0"/>
        <v>17355.7</v>
      </c>
      <c r="O7" s="47">
        <f t="shared" si="0"/>
        <v>17890.3</v>
      </c>
      <c r="P7" s="47">
        <f t="shared" si="0"/>
        <v>19053.5</v>
      </c>
      <c r="Q7" s="48">
        <f t="shared" si="0"/>
        <v>19583.499999999996</v>
      </c>
      <c r="R7" s="46">
        <f t="shared" si="0"/>
        <v>19912.5</v>
      </c>
      <c r="S7" s="47">
        <f t="shared" si="0"/>
        <v>20950.399999999998</v>
      </c>
      <c r="T7" s="47">
        <f t="shared" si="0"/>
        <v>22378.6</v>
      </c>
      <c r="U7" s="48">
        <f t="shared" si="0"/>
        <v>24457.2</v>
      </c>
      <c r="V7" s="46">
        <f t="shared" si="0"/>
        <v>29827.399999999998</v>
      </c>
      <c r="W7" s="47">
        <f t="shared" si="0"/>
        <v>30072.399999999998</v>
      </c>
      <c r="X7" s="47">
        <f t="shared" si="0"/>
        <v>30382.8</v>
      </c>
      <c r="Y7" s="48">
        <f t="shared" si="0"/>
        <v>29878</v>
      </c>
      <c r="Z7" s="46">
        <f t="shared" si="0"/>
        <v>29710.399999999998</v>
      </c>
      <c r="AA7" s="47">
        <f t="shared" si="0"/>
        <v>30426.3</v>
      </c>
      <c r="AB7" s="47">
        <f aca="true" t="shared" si="1" ref="AB7:AG7">AB8+AB9</f>
        <v>31503</v>
      </c>
      <c r="AC7" s="48">
        <f t="shared" si="1"/>
        <v>31476.799999999996</v>
      </c>
      <c r="AD7" s="46">
        <f t="shared" si="1"/>
        <v>33297.6</v>
      </c>
      <c r="AE7" s="47">
        <f t="shared" si="1"/>
        <v>35206</v>
      </c>
      <c r="AF7" s="47">
        <f t="shared" si="1"/>
        <v>36729.5</v>
      </c>
      <c r="AG7" s="48">
        <f t="shared" si="1"/>
        <v>36781.1</v>
      </c>
      <c r="AH7" s="47">
        <f aca="true" t="shared" si="2" ref="AH7:AP7">AH8+AH9</f>
        <v>38078.600000000006</v>
      </c>
      <c r="AI7" s="47">
        <f t="shared" si="2"/>
        <v>41302.2</v>
      </c>
      <c r="AJ7" s="47">
        <f t="shared" si="2"/>
        <v>43494.5</v>
      </c>
      <c r="AK7" s="48">
        <f t="shared" si="2"/>
        <v>43593.399999999994</v>
      </c>
      <c r="AL7" s="47">
        <f t="shared" si="2"/>
        <v>45146</v>
      </c>
      <c r="AM7" s="47">
        <f>AM8+AM9</f>
        <v>46247.6</v>
      </c>
      <c r="AN7" s="47">
        <f>AN8+AN9</f>
        <v>47306.5</v>
      </c>
      <c r="AO7" s="48">
        <f t="shared" si="2"/>
        <v>47807.299999999996</v>
      </c>
      <c r="AP7" s="47">
        <f t="shared" si="2"/>
        <v>49343.8</v>
      </c>
      <c r="AQ7" s="47">
        <f>AQ8+AQ9</f>
        <v>50457.2</v>
      </c>
    </row>
    <row r="8" spans="1:43" s="7" customFormat="1" ht="12.75">
      <c r="A8" s="38" t="s">
        <v>142</v>
      </c>
      <c r="B8" s="123"/>
      <c r="C8" s="124"/>
      <c r="D8" s="124"/>
      <c r="E8" s="124"/>
      <c r="F8" s="123"/>
      <c r="G8" s="40">
        <v>13867.3</v>
      </c>
      <c r="H8" s="40">
        <v>15405.6</v>
      </c>
      <c r="I8" s="41">
        <v>16649.4</v>
      </c>
      <c r="J8" s="39">
        <v>16827.6</v>
      </c>
      <c r="K8" s="40">
        <f>16280.5+0.1</f>
        <v>16280.6</v>
      </c>
      <c r="L8" s="40">
        <f>16149.1+0.1</f>
        <v>16149.2</v>
      </c>
      <c r="M8" s="41">
        <v>16632.600000000002</v>
      </c>
      <c r="N8" s="39">
        <f>16315.9+0.1</f>
        <v>16316</v>
      </c>
      <c r="O8" s="40">
        <v>16843.7</v>
      </c>
      <c r="P8" s="40">
        <f>17914.1+0.2</f>
        <v>17914.3</v>
      </c>
      <c r="Q8" s="41">
        <f>18405.8+0.1</f>
        <v>18405.899999999998</v>
      </c>
      <c r="R8" s="39">
        <f>18727.7+0.1</f>
        <v>18727.8</v>
      </c>
      <c r="S8" s="40">
        <f>19803.8+0.3</f>
        <v>19804.1</v>
      </c>
      <c r="T8" s="40">
        <f>21189.2+0.1</f>
        <v>21189.3</v>
      </c>
      <c r="U8" s="41">
        <f>23323.9+0.1</f>
        <v>23324</v>
      </c>
      <c r="V8" s="39">
        <v>28645.899999999998</v>
      </c>
      <c r="W8" s="40">
        <f>28547.8+0.1</f>
        <v>28547.899999999998</v>
      </c>
      <c r="X8" s="40">
        <f>28858.4+0.1</f>
        <v>28858.5</v>
      </c>
      <c r="Y8" s="41">
        <f>28500.4+0.3</f>
        <v>28500.7</v>
      </c>
      <c r="Z8" s="39">
        <f>28213.1+0.2</f>
        <v>28213.3</v>
      </c>
      <c r="AA8" s="40">
        <f>28757.2+0.1</f>
        <v>28757.3</v>
      </c>
      <c r="AB8" s="40">
        <f>29791.7+0.1</f>
        <v>29791.8</v>
      </c>
      <c r="AC8" s="41">
        <f>29663.1+0.1</f>
        <v>29663.199999999997</v>
      </c>
      <c r="AD8" s="39">
        <f>31419-38.1+0.1</f>
        <v>31381</v>
      </c>
      <c r="AE8" s="40">
        <f>33338+0.1</f>
        <v>33338.1</v>
      </c>
      <c r="AF8" s="40">
        <f>34873.1+0.1</f>
        <v>34873.2</v>
      </c>
      <c r="AG8" s="41">
        <f>34981.4+0.1</f>
        <v>34981.5</v>
      </c>
      <c r="AH8" s="40">
        <v>35951.100000000006</v>
      </c>
      <c r="AI8" s="40">
        <v>39415.7</v>
      </c>
      <c r="AJ8" s="40">
        <v>41800.2</v>
      </c>
      <c r="AK8" s="41">
        <v>41867.2</v>
      </c>
      <c r="AL8" s="40">
        <v>43220</v>
      </c>
      <c r="AM8" s="40">
        <v>44581.7</v>
      </c>
      <c r="AN8" s="40">
        <v>45644.6</v>
      </c>
      <c r="AO8" s="41">
        <v>46269.2</v>
      </c>
      <c r="AP8" s="40">
        <v>47772.3</v>
      </c>
      <c r="AQ8" s="40">
        <v>48785.2</v>
      </c>
    </row>
    <row r="9" spans="1:43" s="4" customFormat="1" ht="12.75">
      <c r="A9" s="87" t="s">
        <v>143</v>
      </c>
      <c r="B9" s="123"/>
      <c r="C9" s="124"/>
      <c r="D9" s="124"/>
      <c r="E9" s="124"/>
      <c r="F9" s="123"/>
      <c r="G9" s="40">
        <v>223.2</v>
      </c>
      <c r="H9" s="40">
        <v>260.5</v>
      </c>
      <c r="I9" s="41">
        <v>347.7</v>
      </c>
      <c r="J9" s="39">
        <v>745.9</v>
      </c>
      <c r="K9" s="40">
        <v>856.3</v>
      </c>
      <c r="L9" s="40">
        <v>794.6</v>
      </c>
      <c r="M9" s="41">
        <v>972</v>
      </c>
      <c r="N9" s="39">
        <v>1039.7</v>
      </c>
      <c r="O9" s="40">
        <v>1046.6</v>
      </c>
      <c r="P9" s="40">
        <v>1139.2</v>
      </c>
      <c r="Q9" s="41">
        <v>1177.6</v>
      </c>
      <c r="R9" s="39">
        <v>1184.7</v>
      </c>
      <c r="S9" s="40">
        <v>1146.3</v>
      </c>
      <c r="T9" s="40">
        <v>1189.3</v>
      </c>
      <c r="U9" s="41">
        <v>1133.2</v>
      </c>
      <c r="V9" s="39">
        <v>1181.5</v>
      </c>
      <c r="W9" s="40">
        <v>1524.5</v>
      </c>
      <c r="X9" s="40">
        <v>1524.3</v>
      </c>
      <c r="Y9" s="41">
        <v>1377.3</v>
      </c>
      <c r="Z9" s="39">
        <v>1497.1000000000001</v>
      </c>
      <c r="AA9" s="40">
        <v>1669</v>
      </c>
      <c r="AB9" s="40">
        <v>1711.2</v>
      </c>
      <c r="AC9" s="41">
        <v>1813.6000000000001</v>
      </c>
      <c r="AD9" s="39">
        <f>1878.5+38.1</f>
        <v>1916.6</v>
      </c>
      <c r="AE9" s="40">
        <v>1867.8999999999999</v>
      </c>
      <c r="AF9" s="40">
        <v>1856.3</v>
      </c>
      <c r="AG9" s="41">
        <v>1799.6</v>
      </c>
      <c r="AH9" s="40">
        <v>2127.5</v>
      </c>
      <c r="AI9" s="40">
        <v>1886.5</v>
      </c>
      <c r="AJ9" s="40">
        <v>1694.3</v>
      </c>
      <c r="AK9" s="41">
        <v>1726.2</v>
      </c>
      <c r="AL9" s="40">
        <v>1926</v>
      </c>
      <c r="AM9" s="40">
        <v>1665.9</v>
      </c>
      <c r="AN9" s="40">
        <v>1661.9</v>
      </c>
      <c r="AO9" s="41">
        <v>1538.1</v>
      </c>
      <c r="AP9" s="40">
        <v>1571.5</v>
      </c>
      <c r="AQ9" s="40">
        <v>1672</v>
      </c>
    </row>
    <row r="10" spans="1:43" s="9" customFormat="1" ht="12.75">
      <c r="A10" s="97" t="s">
        <v>144</v>
      </c>
      <c r="B10" s="121"/>
      <c r="C10" s="122"/>
      <c r="D10" s="122"/>
      <c r="E10" s="122"/>
      <c r="F10" s="121"/>
      <c r="G10" s="47">
        <f aca="true" t="shared" si="3" ref="G10:Y10">SUM(G11:G13)</f>
        <v>268.40000000000003</v>
      </c>
      <c r="H10" s="47">
        <f t="shared" si="3"/>
        <v>271.5</v>
      </c>
      <c r="I10" s="48">
        <f t="shared" si="3"/>
        <v>338.7</v>
      </c>
      <c r="J10" s="46">
        <f t="shared" si="3"/>
        <v>500.6</v>
      </c>
      <c r="K10" s="47">
        <f t="shared" si="3"/>
        <v>571.7</v>
      </c>
      <c r="L10" s="47">
        <f t="shared" si="3"/>
        <v>613.6999999999999</v>
      </c>
      <c r="M10" s="48">
        <f t="shared" si="3"/>
        <v>668.7</v>
      </c>
      <c r="N10" s="46">
        <f t="shared" si="3"/>
        <v>697.6</v>
      </c>
      <c r="O10" s="47">
        <f t="shared" si="3"/>
        <v>726.6</v>
      </c>
      <c r="P10" s="47">
        <f t="shared" si="3"/>
        <v>765.4</v>
      </c>
      <c r="Q10" s="48">
        <f t="shared" si="3"/>
        <v>785.8000000000001</v>
      </c>
      <c r="R10" s="46">
        <f t="shared" si="3"/>
        <v>795.4</v>
      </c>
      <c r="S10" s="47">
        <f t="shared" si="3"/>
        <v>798.9</v>
      </c>
      <c r="T10" s="47">
        <f t="shared" si="3"/>
        <v>818.6999999999999</v>
      </c>
      <c r="U10" s="48">
        <f t="shared" si="3"/>
        <v>736.6</v>
      </c>
      <c r="V10" s="46">
        <f t="shared" si="3"/>
        <v>805.5999999999999</v>
      </c>
      <c r="W10" s="47">
        <f t="shared" si="3"/>
        <v>877.5</v>
      </c>
      <c r="X10" s="47">
        <f t="shared" si="3"/>
        <v>927.5</v>
      </c>
      <c r="Y10" s="48">
        <f t="shared" si="3"/>
        <v>975.8</v>
      </c>
      <c r="Z10" s="46">
        <f aca="true" t="shared" si="4" ref="Z10:AE10">SUM(Z11:Z13)</f>
        <v>985.9</v>
      </c>
      <c r="AA10" s="47">
        <f t="shared" si="4"/>
        <v>1027.2999999999997</v>
      </c>
      <c r="AB10" s="47">
        <f t="shared" si="4"/>
        <v>1038.7</v>
      </c>
      <c r="AC10" s="48">
        <f t="shared" si="4"/>
        <v>1081</v>
      </c>
      <c r="AD10" s="46">
        <f t="shared" si="4"/>
        <v>1127.7</v>
      </c>
      <c r="AE10" s="47">
        <f t="shared" si="4"/>
        <v>1091.6000000000001</v>
      </c>
      <c r="AF10" s="47">
        <f aca="true" t="shared" si="5" ref="AF10:AK10">SUM(AF11:AF13)</f>
        <v>1127.6</v>
      </c>
      <c r="AG10" s="48">
        <f t="shared" si="5"/>
        <v>1172</v>
      </c>
      <c r="AH10" s="47">
        <f t="shared" si="5"/>
        <v>1203.1000000000001</v>
      </c>
      <c r="AI10" s="47">
        <f t="shared" si="5"/>
        <v>1049.5</v>
      </c>
      <c r="AJ10" s="47">
        <f t="shared" si="5"/>
        <v>1004.8</v>
      </c>
      <c r="AK10" s="48">
        <f t="shared" si="5"/>
        <v>1056.1</v>
      </c>
      <c r="AL10" s="47">
        <f aca="true" t="shared" si="6" ref="AL10:AQ10">SUM(AL11:AL13)</f>
        <v>1102.3999999999999</v>
      </c>
      <c r="AM10" s="47">
        <f t="shared" si="6"/>
        <v>1005.3000000000001</v>
      </c>
      <c r="AN10" s="47">
        <f t="shared" si="6"/>
        <v>1024.6</v>
      </c>
      <c r="AO10" s="48">
        <f t="shared" si="6"/>
        <v>962.3000000000001</v>
      </c>
      <c r="AP10" s="47">
        <f t="shared" si="6"/>
        <v>973.3</v>
      </c>
      <c r="AQ10" s="47">
        <f t="shared" si="6"/>
        <v>963.4</v>
      </c>
    </row>
    <row r="11" spans="1:43" s="9" customFormat="1" ht="12.75">
      <c r="A11" s="87" t="s">
        <v>145</v>
      </c>
      <c r="B11" s="123"/>
      <c r="C11" s="124"/>
      <c r="D11" s="124"/>
      <c r="E11" s="124"/>
      <c r="F11" s="123"/>
      <c r="G11" s="40">
        <v>77.3</v>
      </c>
      <c r="H11" s="40">
        <v>71.3</v>
      </c>
      <c r="I11" s="41">
        <v>71.2</v>
      </c>
      <c r="J11" s="39">
        <v>75.3</v>
      </c>
      <c r="K11" s="40">
        <v>84.6</v>
      </c>
      <c r="L11" s="40">
        <v>96.5</v>
      </c>
      <c r="M11" s="41">
        <v>77.2</v>
      </c>
      <c r="N11" s="39">
        <v>76</v>
      </c>
      <c r="O11" s="40">
        <v>72.7</v>
      </c>
      <c r="P11" s="40">
        <v>70.3</v>
      </c>
      <c r="Q11" s="41">
        <v>62.1</v>
      </c>
      <c r="R11" s="39">
        <v>56</v>
      </c>
      <c r="S11" s="40">
        <v>60.3</v>
      </c>
      <c r="T11" s="40">
        <v>65.9</v>
      </c>
      <c r="U11" s="41">
        <v>63</v>
      </c>
      <c r="V11" s="39">
        <v>79.4</v>
      </c>
      <c r="W11" s="40">
        <v>86.39999999999998</v>
      </c>
      <c r="X11" s="40">
        <v>78.6</v>
      </c>
      <c r="Y11" s="41">
        <v>58</v>
      </c>
      <c r="Z11" s="39">
        <v>56.800000000000004</v>
      </c>
      <c r="AA11" s="40">
        <v>54.400000000000006</v>
      </c>
      <c r="AB11" s="40">
        <v>44.3</v>
      </c>
      <c r="AC11" s="41">
        <v>47.89999999999999</v>
      </c>
      <c r="AD11" s="39">
        <v>51.89999999999999</v>
      </c>
      <c r="AE11" s="40">
        <v>53.400000000000006</v>
      </c>
      <c r="AF11" s="40">
        <v>68.1</v>
      </c>
      <c r="AG11" s="41">
        <v>79.50000000000001</v>
      </c>
      <c r="AH11" s="40">
        <v>71.39999999999999</v>
      </c>
      <c r="AI11" s="40">
        <v>72.1</v>
      </c>
      <c r="AJ11" s="40">
        <v>85.9</v>
      </c>
      <c r="AK11" s="41">
        <v>79.2</v>
      </c>
      <c r="AL11" s="40">
        <v>74.10000000000001</v>
      </c>
      <c r="AM11" s="40">
        <v>78</v>
      </c>
      <c r="AN11" s="40">
        <v>68.5</v>
      </c>
      <c r="AO11" s="41">
        <v>70.2</v>
      </c>
      <c r="AP11" s="40">
        <v>67.9</v>
      </c>
      <c r="AQ11" s="40">
        <v>71.7</v>
      </c>
    </row>
    <row r="12" spans="1:43" s="9" customFormat="1" ht="12.75">
      <c r="A12" s="89" t="s">
        <v>146</v>
      </c>
      <c r="B12" s="123"/>
      <c r="C12" s="124"/>
      <c r="D12" s="124"/>
      <c r="E12" s="124"/>
      <c r="F12" s="123"/>
      <c r="G12" s="40">
        <v>184.8</v>
      </c>
      <c r="H12" s="40">
        <v>192.9</v>
      </c>
      <c r="I12" s="41">
        <v>258.2</v>
      </c>
      <c r="J12" s="39">
        <v>408.8</v>
      </c>
      <c r="K12" s="40">
        <v>473.6</v>
      </c>
      <c r="L12" s="40">
        <v>502.3</v>
      </c>
      <c r="M12" s="41">
        <v>571.4</v>
      </c>
      <c r="N12" s="39">
        <v>604.2</v>
      </c>
      <c r="O12" s="40">
        <v>636.3</v>
      </c>
      <c r="P12" s="40">
        <v>685.9</v>
      </c>
      <c r="Q12" s="41">
        <v>712.6</v>
      </c>
      <c r="R12" s="39">
        <v>729.5</v>
      </c>
      <c r="S12" s="40">
        <v>728</v>
      </c>
      <c r="T12" s="40">
        <v>743.8</v>
      </c>
      <c r="U12" s="41">
        <v>663</v>
      </c>
      <c r="V12" s="39">
        <v>711.3</v>
      </c>
      <c r="W12" s="40">
        <v>773.5</v>
      </c>
      <c r="X12" s="40">
        <v>828.9</v>
      </c>
      <c r="Y12" s="41">
        <v>895.5</v>
      </c>
      <c r="Z12" s="39">
        <v>905.6</v>
      </c>
      <c r="AA12" s="40">
        <v>945.6999999999998</v>
      </c>
      <c r="AB12" s="40">
        <v>978.0000000000001</v>
      </c>
      <c r="AC12" s="41">
        <v>1019.6</v>
      </c>
      <c r="AD12" s="39">
        <v>1061.8</v>
      </c>
      <c r="AE12" s="40">
        <v>1022</v>
      </c>
      <c r="AF12" s="40">
        <v>1043.2</v>
      </c>
      <c r="AG12" s="41">
        <v>1074.2</v>
      </c>
      <c r="AH12" s="40">
        <v>1117.6000000000001</v>
      </c>
      <c r="AI12" s="40">
        <v>963.6</v>
      </c>
      <c r="AJ12" s="40">
        <v>904.4</v>
      </c>
      <c r="AK12" s="41">
        <v>950.8</v>
      </c>
      <c r="AL12" s="40">
        <v>995.7</v>
      </c>
      <c r="AM12" s="40">
        <v>894.6</v>
      </c>
      <c r="AN12" s="40">
        <v>925.6</v>
      </c>
      <c r="AO12" s="41">
        <v>869.6</v>
      </c>
      <c r="AP12" s="40">
        <v>884.5</v>
      </c>
      <c r="AQ12" s="40">
        <v>861.8</v>
      </c>
    </row>
    <row r="13" spans="1:43" s="7" customFormat="1" ht="12.75">
      <c r="A13" s="89" t="s">
        <v>147</v>
      </c>
      <c r="B13" s="123"/>
      <c r="C13" s="124"/>
      <c r="D13" s="124"/>
      <c r="E13" s="124"/>
      <c r="F13" s="123"/>
      <c r="G13" s="40">
        <v>6.3</v>
      </c>
      <c r="H13" s="40">
        <v>7.3</v>
      </c>
      <c r="I13" s="41">
        <v>9.3</v>
      </c>
      <c r="J13" s="39">
        <v>16.5</v>
      </c>
      <c r="K13" s="40">
        <v>13.5</v>
      </c>
      <c r="L13" s="40">
        <v>14.9</v>
      </c>
      <c r="M13" s="41">
        <v>20.1</v>
      </c>
      <c r="N13" s="39">
        <v>17.4</v>
      </c>
      <c r="O13" s="40">
        <v>17.6</v>
      </c>
      <c r="P13" s="40">
        <v>9.2</v>
      </c>
      <c r="Q13" s="41">
        <v>11.1</v>
      </c>
      <c r="R13" s="39">
        <v>9.9</v>
      </c>
      <c r="S13" s="40">
        <v>10.6</v>
      </c>
      <c r="T13" s="40">
        <v>9</v>
      </c>
      <c r="U13" s="41">
        <v>10.6</v>
      </c>
      <c r="V13" s="39">
        <v>14.9</v>
      </c>
      <c r="W13" s="40">
        <v>17.6</v>
      </c>
      <c r="X13" s="40">
        <v>20</v>
      </c>
      <c r="Y13" s="41">
        <v>22.3</v>
      </c>
      <c r="Z13" s="39">
        <v>23.5</v>
      </c>
      <c r="AA13" s="40">
        <v>27.2</v>
      </c>
      <c r="AB13" s="40">
        <v>16.4</v>
      </c>
      <c r="AC13" s="41">
        <v>13.5</v>
      </c>
      <c r="AD13" s="39">
        <v>14</v>
      </c>
      <c r="AE13" s="40">
        <v>16.2</v>
      </c>
      <c r="AF13" s="40">
        <v>16.3</v>
      </c>
      <c r="AG13" s="41">
        <v>18.3</v>
      </c>
      <c r="AH13" s="40">
        <v>14.1</v>
      </c>
      <c r="AI13" s="40">
        <v>13.8</v>
      </c>
      <c r="AJ13" s="40">
        <v>14.5</v>
      </c>
      <c r="AK13" s="41">
        <v>26.1</v>
      </c>
      <c r="AL13" s="40">
        <v>32.6</v>
      </c>
      <c r="AM13" s="40">
        <v>32.7</v>
      </c>
      <c r="AN13" s="40">
        <v>30.5</v>
      </c>
      <c r="AO13" s="41">
        <v>22.5</v>
      </c>
      <c r="AP13" s="40">
        <v>20.9</v>
      </c>
      <c r="AQ13" s="40">
        <v>29.9</v>
      </c>
    </row>
    <row r="14" spans="1:43" s="7" customFormat="1" ht="12.75">
      <c r="A14" s="89" t="s">
        <v>148</v>
      </c>
      <c r="B14" s="123"/>
      <c r="C14" s="124"/>
      <c r="D14" s="124"/>
      <c r="E14" s="124"/>
      <c r="F14" s="123"/>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40"/>
      <c r="AI14" s="40"/>
      <c r="AJ14" s="40"/>
      <c r="AK14" s="41"/>
      <c r="AL14" s="40"/>
      <c r="AM14" s="40"/>
      <c r="AN14" s="40"/>
      <c r="AO14" s="41"/>
      <c r="AP14" s="40"/>
      <c r="AQ14" s="40"/>
    </row>
    <row r="15" spans="1:43" s="9" customFormat="1" ht="12.75">
      <c r="A15" s="89" t="s">
        <v>204</v>
      </c>
      <c r="B15" s="125"/>
      <c r="C15" s="126"/>
      <c r="D15" s="126"/>
      <c r="E15" s="126"/>
      <c r="F15" s="125"/>
      <c r="G15" s="127">
        <f aca="true" t="shared" si="7" ref="G15:AA15">G9/G7</f>
        <v>0.01584045988431922</v>
      </c>
      <c r="H15" s="127">
        <f t="shared" si="7"/>
        <v>0.016628261022207186</v>
      </c>
      <c r="I15" s="128">
        <f t="shared" si="7"/>
        <v>0.020456430802901666</v>
      </c>
      <c r="J15" s="129">
        <f t="shared" si="7"/>
        <v>0.04244458986542237</v>
      </c>
      <c r="K15" s="127">
        <f t="shared" si="7"/>
        <v>0.04996819728188878</v>
      </c>
      <c r="L15" s="127">
        <f t="shared" si="7"/>
        <v>0.04689620982306213</v>
      </c>
      <c r="M15" s="128">
        <f t="shared" si="7"/>
        <v>0.055212842098087994</v>
      </c>
      <c r="N15" s="129">
        <f t="shared" si="7"/>
        <v>0.05990539131236424</v>
      </c>
      <c r="O15" s="127">
        <f t="shared" si="7"/>
        <v>0.05850097538889789</v>
      </c>
      <c r="P15" s="127">
        <f t="shared" si="7"/>
        <v>0.05978953997953132</v>
      </c>
      <c r="Q15" s="128">
        <f t="shared" si="7"/>
        <v>0.060132254193581335</v>
      </c>
      <c r="R15" s="129">
        <f t="shared" si="7"/>
        <v>0.05949529190207156</v>
      </c>
      <c r="S15" s="127">
        <f t="shared" si="7"/>
        <v>0.054714945776691615</v>
      </c>
      <c r="T15" s="127">
        <f t="shared" si="7"/>
        <v>0.05314452199869518</v>
      </c>
      <c r="U15" s="128">
        <f>U9/U7</f>
        <v>0.04633400389251427</v>
      </c>
      <c r="V15" s="129">
        <f t="shared" si="7"/>
        <v>0.03961122994293838</v>
      </c>
      <c r="W15" s="127">
        <f t="shared" si="7"/>
        <v>0.05069432436386853</v>
      </c>
      <c r="X15" s="127">
        <f t="shared" si="7"/>
        <v>0.05016983293179036</v>
      </c>
      <c r="Y15" s="128">
        <f t="shared" si="7"/>
        <v>0.046097463016266146</v>
      </c>
      <c r="Z15" s="129">
        <f t="shared" si="7"/>
        <v>0.050389762507404824</v>
      </c>
      <c r="AA15" s="127">
        <f t="shared" si="7"/>
        <v>0.054853859982975255</v>
      </c>
      <c r="AB15" s="127">
        <f aca="true" t="shared" si="8" ref="AB15:AG15">AB9/AB7</f>
        <v>0.054318636320350444</v>
      </c>
      <c r="AC15" s="128">
        <f t="shared" si="8"/>
        <v>0.057617038580796025</v>
      </c>
      <c r="AD15" s="129">
        <f t="shared" si="8"/>
        <v>0.057559704002690885</v>
      </c>
      <c r="AE15" s="127">
        <f t="shared" si="8"/>
        <v>0.05305629722206442</v>
      </c>
      <c r="AF15" s="127">
        <f t="shared" si="8"/>
        <v>0.05053975687117984</v>
      </c>
      <c r="AG15" s="128">
        <f t="shared" si="8"/>
        <v>0.04892730233734173</v>
      </c>
      <c r="AH15" s="127">
        <f aca="true" t="shared" si="9" ref="AH15:AP15">AH9/AH7</f>
        <v>0.05587127678013371</v>
      </c>
      <c r="AI15" s="127">
        <f t="shared" si="9"/>
        <v>0.045675533022454015</v>
      </c>
      <c r="AJ15" s="127">
        <f t="shared" si="9"/>
        <v>0.03895435055006955</v>
      </c>
      <c r="AK15" s="128">
        <f t="shared" si="9"/>
        <v>0.03959773727215588</v>
      </c>
      <c r="AL15" s="127">
        <f t="shared" si="9"/>
        <v>0.04266158685154831</v>
      </c>
      <c r="AM15" s="127">
        <f>AM9/AM7</f>
        <v>0.036021328674352836</v>
      </c>
      <c r="AN15" s="127">
        <f>AN9/AN7</f>
        <v>0.035130478898248656</v>
      </c>
      <c r="AO15" s="128">
        <f t="shared" si="9"/>
        <v>0.0321729108316094</v>
      </c>
      <c r="AP15" s="127">
        <f t="shared" si="9"/>
        <v>0.031847972794961064</v>
      </c>
      <c r="AQ15" s="127">
        <f>AQ9/AQ7</f>
        <v>0.03313699531484109</v>
      </c>
    </row>
    <row r="16" spans="1:43" s="9" customFormat="1" ht="12.75">
      <c r="A16" s="89" t="s">
        <v>149</v>
      </c>
      <c r="B16" s="125"/>
      <c r="C16" s="126"/>
      <c r="D16" s="126"/>
      <c r="E16" s="126"/>
      <c r="F16" s="125"/>
      <c r="G16" s="127">
        <f aca="true" t="shared" si="10" ref="G16:AA16">G12/G9</f>
        <v>0.8279569892473119</v>
      </c>
      <c r="H16" s="127">
        <f t="shared" si="10"/>
        <v>0.7404990403071018</v>
      </c>
      <c r="I16" s="128">
        <f t="shared" si="10"/>
        <v>0.7425941903940179</v>
      </c>
      <c r="J16" s="129">
        <f t="shared" si="10"/>
        <v>0.5480627429950395</v>
      </c>
      <c r="K16" s="127">
        <f t="shared" si="10"/>
        <v>0.5530771925726965</v>
      </c>
      <c r="L16" s="127">
        <f t="shared" si="10"/>
        <v>0.6321419582179713</v>
      </c>
      <c r="M16" s="128">
        <f t="shared" si="10"/>
        <v>0.5878600823045267</v>
      </c>
      <c r="N16" s="129">
        <f t="shared" si="10"/>
        <v>0.5811291718765028</v>
      </c>
      <c r="O16" s="127">
        <f t="shared" si="10"/>
        <v>0.6079686604242308</v>
      </c>
      <c r="P16" s="127">
        <f t="shared" si="10"/>
        <v>0.6020891853932584</v>
      </c>
      <c r="Q16" s="128">
        <f t="shared" si="10"/>
        <v>0.6051290760869565</v>
      </c>
      <c r="R16" s="129">
        <f t="shared" si="10"/>
        <v>0.6157677049041951</v>
      </c>
      <c r="S16" s="127">
        <f t="shared" si="10"/>
        <v>0.6350868010119515</v>
      </c>
      <c r="T16" s="127">
        <f t="shared" si="10"/>
        <v>0.6254099049861263</v>
      </c>
      <c r="U16" s="128">
        <f>U12/U9</f>
        <v>0.5850688316272502</v>
      </c>
      <c r="V16" s="129">
        <f t="shared" si="10"/>
        <v>0.6020313161235717</v>
      </c>
      <c r="W16" s="127">
        <f t="shared" si="10"/>
        <v>0.5073794686782551</v>
      </c>
      <c r="X16" s="127">
        <f t="shared" si="10"/>
        <v>0.5437905924030703</v>
      </c>
      <c r="Y16" s="128">
        <f t="shared" si="10"/>
        <v>0.6501851448486169</v>
      </c>
      <c r="Z16" s="129">
        <f t="shared" si="10"/>
        <v>0.6049028121033999</v>
      </c>
      <c r="AA16" s="127">
        <f t="shared" si="10"/>
        <v>0.5666267225883762</v>
      </c>
      <c r="AB16" s="127">
        <f aca="true" t="shared" si="11" ref="AB16:AG16">AB12/AB9</f>
        <v>0.5715287517531558</v>
      </c>
      <c r="AC16" s="128">
        <f t="shared" si="11"/>
        <v>0.5621967357741509</v>
      </c>
      <c r="AD16" s="129">
        <f t="shared" si="11"/>
        <v>0.5540018783262026</v>
      </c>
      <c r="AE16" s="127">
        <f t="shared" si="11"/>
        <v>0.5471384977782537</v>
      </c>
      <c r="AF16" s="127">
        <f t="shared" si="11"/>
        <v>0.5619781285352583</v>
      </c>
      <c r="AG16" s="128">
        <f t="shared" si="11"/>
        <v>0.5969104245387864</v>
      </c>
      <c r="AH16" s="127">
        <f aca="true" t="shared" si="12" ref="AH16:AP16">AH12/AH9</f>
        <v>0.5253113983548767</v>
      </c>
      <c r="AI16" s="127">
        <f t="shared" si="12"/>
        <v>0.5107871720116618</v>
      </c>
      <c r="AJ16" s="127">
        <f t="shared" si="12"/>
        <v>0.5337897656849436</v>
      </c>
      <c r="AK16" s="128">
        <f t="shared" si="12"/>
        <v>0.5508052369366238</v>
      </c>
      <c r="AL16" s="127">
        <f t="shared" si="12"/>
        <v>0.5169781931464175</v>
      </c>
      <c r="AM16" s="127">
        <f>AM12/AM9</f>
        <v>0.537007023230686</v>
      </c>
      <c r="AN16" s="127">
        <f>AN12/AN9</f>
        <v>0.5569528852518202</v>
      </c>
      <c r="AO16" s="128">
        <f t="shared" si="12"/>
        <v>0.5653728626227164</v>
      </c>
      <c r="AP16" s="127">
        <f t="shared" si="12"/>
        <v>0.5628380528157811</v>
      </c>
      <c r="AQ16" s="127">
        <f>AQ12/AQ9</f>
        <v>0.5154306220095694</v>
      </c>
    </row>
    <row r="17" spans="1:43" s="9" customFormat="1" ht="12.75">
      <c r="A17" s="89"/>
      <c r="B17" s="123"/>
      <c r="C17" s="124"/>
      <c r="D17" s="124"/>
      <c r="E17" s="124"/>
      <c r="F17" s="123"/>
      <c r="G17" s="40"/>
      <c r="H17" s="40"/>
      <c r="I17" s="41"/>
      <c r="J17" s="39"/>
      <c r="K17" s="40"/>
      <c r="L17" s="40"/>
      <c r="M17" s="41"/>
      <c r="N17" s="39"/>
      <c r="O17" s="40"/>
      <c r="P17" s="40"/>
      <c r="Q17" s="41"/>
      <c r="R17" s="39"/>
      <c r="S17" s="40"/>
      <c r="T17" s="40"/>
      <c r="U17" s="41"/>
      <c r="V17" s="39"/>
      <c r="W17" s="40"/>
      <c r="X17" s="40"/>
      <c r="Y17" s="41"/>
      <c r="Z17" s="39"/>
      <c r="AA17" s="40"/>
      <c r="AB17" s="40"/>
      <c r="AC17" s="41"/>
      <c r="AD17" s="39"/>
      <c r="AE17" s="40"/>
      <c r="AF17" s="40"/>
      <c r="AG17" s="41"/>
      <c r="AH17" s="40"/>
      <c r="AI17" s="40"/>
      <c r="AJ17" s="40"/>
      <c r="AK17" s="41"/>
      <c r="AL17" s="40"/>
      <c r="AM17" s="40"/>
      <c r="AN17" s="40"/>
      <c r="AO17" s="41"/>
      <c r="AP17" s="40"/>
      <c r="AQ17" s="40"/>
    </row>
    <row r="18" spans="1:43" s="9" customFormat="1" ht="12.75">
      <c r="A18" s="97" t="s">
        <v>150</v>
      </c>
      <c r="B18" s="123"/>
      <c r="C18" s="124"/>
      <c r="D18" s="124"/>
      <c r="E18" s="124"/>
      <c r="F18" s="123"/>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40"/>
      <c r="AI18" s="40"/>
      <c r="AJ18" s="40"/>
      <c r="AK18" s="41"/>
      <c r="AL18" s="40"/>
      <c r="AM18" s="40"/>
      <c r="AN18" s="40"/>
      <c r="AO18" s="41"/>
      <c r="AP18" s="40"/>
      <c r="AQ18" s="40"/>
    </row>
    <row r="19" spans="1:43" s="9" customFormat="1" ht="12.75">
      <c r="A19" s="97" t="s">
        <v>141</v>
      </c>
      <c r="B19" s="121"/>
      <c r="C19" s="122"/>
      <c r="D19" s="122"/>
      <c r="E19" s="122"/>
      <c r="F19" s="121"/>
      <c r="G19" s="47">
        <f aca="true" t="shared" si="13" ref="G19:AA19">G20+G21</f>
        <v>5723.8</v>
      </c>
      <c r="H19" s="47">
        <f t="shared" si="13"/>
        <v>6439.6</v>
      </c>
      <c r="I19" s="48">
        <f t="shared" si="13"/>
        <v>7300.900000000001</v>
      </c>
      <c r="J19" s="46">
        <f t="shared" si="13"/>
        <v>8041</v>
      </c>
      <c r="K19" s="47">
        <f t="shared" si="13"/>
        <v>8639.8</v>
      </c>
      <c r="L19" s="47">
        <f t="shared" si="13"/>
        <v>9190.2</v>
      </c>
      <c r="M19" s="48">
        <f t="shared" si="13"/>
        <v>9756.800000000001</v>
      </c>
      <c r="N19" s="46">
        <f t="shared" si="13"/>
        <v>10220.7</v>
      </c>
      <c r="O19" s="47">
        <f t="shared" si="13"/>
        <v>11104.1</v>
      </c>
      <c r="P19" s="47">
        <f t="shared" si="13"/>
        <v>11614.3</v>
      </c>
      <c r="Q19" s="48">
        <f t="shared" si="13"/>
        <v>12594.8</v>
      </c>
      <c r="R19" s="46">
        <f t="shared" si="13"/>
        <v>13076.2</v>
      </c>
      <c r="S19" s="47">
        <f t="shared" si="13"/>
        <v>13804.3</v>
      </c>
      <c r="T19" s="47">
        <f t="shared" si="13"/>
        <v>14540.6</v>
      </c>
      <c r="U19" s="48">
        <f t="shared" si="13"/>
        <v>15008.9</v>
      </c>
      <c r="V19" s="46">
        <f t="shared" si="13"/>
        <v>15278.5</v>
      </c>
      <c r="W19" s="47">
        <f t="shared" si="13"/>
        <v>15835.199999999999</v>
      </c>
      <c r="X19" s="47">
        <f t="shared" si="13"/>
        <v>16362.1</v>
      </c>
      <c r="Y19" s="48">
        <f t="shared" si="13"/>
        <v>16632</v>
      </c>
      <c r="Z19" s="46">
        <f t="shared" si="13"/>
        <v>16960</v>
      </c>
      <c r="AA19" s="47">
        <f t="shared" si="13"/>
        <v>17710.4</v>
      </c>
      <c r="AB19" s="47">
        <f aca="true" t="shared" si="14" ref="AB19:AG19">AB20+AB21</f>
        <v>18261.5</v>
      </c>
      <c r="AC19" s="48">
        <f t="shared" si="14"/>
        <v>18505.5</v>
      </c>
      <c r="AD19" s="46">
        <f t="shared" si="14"/>
        <v>19048.6</v>
      </c>
      <c r="AE19" s="47">
        <f t="shared" si="14"/>
        <v>19893.1</v>
      </c>
      <c r="AF19" s="47">
        <f t="shared" si="14"/>
        <v>21021.3</v>
      </c>
      <c r="AG19" s="48">
        <f t="shared" si="14"/>
        <v>21969.399999999998</v>
      </c>
      <c r="AH19" s="47">
        <f aca="true" t="shared" si="15" ref="AH19:AP19">AH20+AH21</f>
        <v>23244.499999999996</v>
      </c>
      <c r="AI19" s="47">
        <f t="shared" si="15"/>
        <v>24641.5</v>
      </c>
      <c r="AJ19" s="47">
        <f t="shared" si="15"/>
        <v>25551.999999999996</v>
      </c>
      <c r="AK19" s="48">
        <f t="shared" si="15"/>
        <v>26453.5</v>
      </c>
      <c r="AL19" s="47">
        <f t="shared" si="15"/>
        <v>27761</v>
      </c>
      <c r="AM19" s="47">
        <f>AM20+AM21</f>
        <v>29563.2</v>
      </c>
      <c r="AN19" s="47">
        <f>AN20+AN21</f>
        <v>30581.8</v>
      </c>
      <c r="AO19" s="48">
        <f t="shared" si="15"/>
        <v>31640.600000000002</v>
      </c>
      <c r="AP19" s="47">
        <f t="shared" si="15"/>
        <v>32786.200000000004</v>
      </c>
      <c r="AQ19" s="47">
        <f>AQ20+AQ21</f>
        <v>34321.3</v>
      </c>
    </row>
    <row r="20" spans="1:43" s="9" customFormat="1" ht="12.75">
      <c r="A20" s="38" t="s">
        <v>142</v>
      </c>
      <c r="B20" s="123"/>
      <c r="C20" s="124"/>
      <c r="D20" s="124"/>
      <c r="E20" s="124"/>
      <c r="F20" s="123"/>
      <c r="G20" s="40">
        <v>5582.2</v>
      </c>
      <c r="H20" s="40">
        <v>6306.1</v>
      </c>
      <c r="I20" s="41">
        <v>7146.3</v>
      </c>
      <c r="J20" s="39">
        <v>7889</v>
      </c>
      <c r="K20" s="40">
        <v>8469.5</v>
      </c>
      <c r="L20" s="40">
        <v>9018.2</v>
      </c>
      <c r="M20" s="41">
        <v>9564.1</v>
      </c>
      <c r="N20" s="39">
        <v>9982.2</v>
      </c>
      <c r="O20" s="40">
        <v>10841.9</v>
      </c>
      <c r="P20" s="40">
        <v>11323</v>
      </c>
      <c r="Q20" s="41">
        <v>12264.8</v>
      </c>
      <c r="R20" s="39">
        <v>12736</v>
      </c>
      <c r="S20" s="40">
        <v>13432.4</v>
      </c>
      <c r="T20" s="40">
        <v>14140.6</v>
      </c>
      <c r="U20" s="41">
        <v>14589.1</v>
      </c>
      <c r="V20" s="39">
        <v>14837.9</v>
      </c>
      <c r="W20" s="40">
        <v>15370.199999999999</v>
      </c>
      <c r="X20" s="40">
        <v>15863.2</v>
      </c>
      <c r="Y20" s="41">
        <v>16114.3</v>
      </c>
      <c r="Z20" s="39">
        <v>16421.8</v>
      </c>
      <c r="AA20" s="40">
        <v>17092.2</v>
      </c>
      <c r="AB20" s="40">
        <v>17778.4</v>
      </c>
      <c r="AC20" s="41">
        <v>18004.5</v>
      </c>
      <c r="AD20" s="39">
        <v>18532</v>
      </c>
      <c r="AE20" s="40">
        <v>19363</v>
      </c>
      <c r="AF20" s="40">
        <v>20470.8</v>
      </c>
      <c r="AG20" s="41">
        <v>21389.6</v>
      </c>
      <c r="AH20" s="40">
        <v>22632.199999999997</v>
      </c>
      <c r="AI20" s="40">
        <v>24009.8</v>
      </c>
      <c r="AJ20" s="40">
        <v>25032.899999999998</v>
      </c>
      <c r="AK20" s="41">
        <v>25911.3</v>
      </c>
      <c r="AL20" s="40">
        <v>27254</v>
      </c>
      <c r="AM20" s="40">
        <v>29018.100000000002</v>
      </c>
      <c r="AN20" s="40">
        <v>30084</v>
      </c>
      <c r="AO20" s="41">
        <v>31101.9</v>
      </c>
      <c r="AP20" s="40">
        <v>32192.9</v>
      </c>
      <c r="AQ20" s="40">
        <v>33687.5</v>
      </c>
    </row>
    <row r="21" spans="1:43" s="9" customFormat="1" ht="12.75">
      <c r="A21" s="38" t="s">
        <v>143</v>
      </c>
      <c r="B21" s="123"/>
      <c r="C21" s="124"/>
      <c r="D21" s="124"/>
      <c r="E21" s="124"/>
      <c r="F21" s="123"/>
      <c r="G21" s="40">
        <v>141.6</v>
      </c>
      <c r="H21" s="40">
        <v>133.5</v>
      </c>
      <c r="I21" s="41">
        <v>154.6</v>
      </c>
      <c r="J21" s="39">
        <v>152</v>
      </c>
      <c r="K21" s="40">
        <v>170.3</v>
      </c>
      <c r="L21" s="40">
        <v>172</v>
      </c>
      <c r="M21" s="41">
        <v>192.7</v>
      </c>
      <c r="N21" s="39">
        <v>238.5</v>
      </c>
      <c r="O21" s="40">
        <v>262.2</v>
      </c>
      <c r="P21" s="40">
        <v>291.3</v>
      </c>
      <c r="Q21" s="41">
        <v>330</v>
      </c>
      <c r="R21" s="39">
        <v>340.2</v>
      </c>
      <c r="S21" s="40">
        <v>371.9</v>
      </c>
      <c r="T21" s="40">
        <v>400</v>
      </c>
      <c r="U21" s="41">
        <v>419.8</v>
      </c>
      <c r="V21" s="39">
        <v>440.6</v>
      </c>
      <c r="W21" s="40">
        <v>465</v>
      </c>
      <c r="X21" s="40">
        <v>498.90000000000003</v>
      </c>
      <c r="Y21" s="41">
        <v>517.7</v>
      </c>
      <c r="Z21" s="39">
        <v>538.2</v>
      </c>
      <c r="AA21" s="40">
        <v>618.2</v>
      </c>
      <c r="AB21" s="40">
        <v>483.1</v>
      </c>
      <c r="AC21" s="41">
        <v>501</v>
      </c>
      <c r="AD21" s="39">
        <v>516.6</v>
      </c>
      <c r="AE21" s="40">
        <v>530.1</v>
      </c>
      <c r="AF21" s="40">
        <v>550.5</v>
      </c>
      <c r="AG21" s="41">
        <v>579.8</v>
      </c>
      <c r="AH21" s="40">
        <v>612.3</v>
      </c>
      <c r="AI21" s="40">
        <v>631.7</v>
      </c>
      <c r="AJ21" s="40">
        <v>519.1</v>
      </c>
      <c r="AK21" s="41">
        <v>542.2</v>
      </c>
      <c r="AL21" s="40">
        <v>507</v>
      </c>
      <c r="AM21" s="40">
        <v>545.1</v>
      </c>
      <c r="AN21" s="40">
        <v>497.8</v>
      </c>
      <c r="AO21" s="41">
        <v>538.7</v>
      </c>
      <c r="AP21" s="40">
        <v>593.3</v>
      </c>
      <c r="AQ21" s="40">
        <v>633.8</v>
      </c>
    </row>
    <row r="22" spans="1:43" ht="12.75">
      <c r="A22" s="97" t="s">
        <v>144</v>
      </c>
      <c r="B22" s="121"/>
      <c r="C22" s="122"/>
      <c r="D22" s="122"/>
      <c r="E22" s="122"/>
      <c r="F22" s="121"/>
      <c r="G22" s="47">
        <f aca="true" t="shared" si="16" ref="G22:W22">SUM(G23:G25)</f>
        <v>132.7</v>
      </c>
      <c r="H22" s="47">
        <f t="shared" si="16"/>
        <v>141.2</v>
      </c>
      <c r="I22" s="48">
        <f t="shared" si="16"/>
        <v>164.2</v>
      </c>
      <c r="J22" s="46">
        <f t="shared" si="16"/>
        <v>180.7</v>
      </c>
      <c r="K22" s="47">
        <f t="shared" si="16"/>
        <v>198.29999999999998</v>
      </c>
      <c r="L22" s="47">
        <f t="shared" si="16"/>
        <v>202.6</v>
      </c>
      <c r="M22" s="48">
        <f t="shared" si="16"/>
        <v>224.1</v>
      </c>
      <c r="N22" s="46">
        <f t="shared" si="16"/>
        <v>246</v>
      </c>
      <c r="O22" s="47">
        <f t="shared" si="16"/>
        <v>259</v>
      </c>
      <c r="P22" s="47">
        <f t="shared" si="16"/>
        <v>280.9</v>
      </c>
      <c r="Q22" s="48">
        <f t="shared" si="16"/>
        <v>305.5</v>
      </c>
      <c r="R22" s="46">
        <f t="shared" si="16"/>
        <v>334.9</v>
      </c>
      <c r="S22" s="47">
        <f t="shared" si="16"/>
        <v>348.7</v>
      </c>
      <c r="T22" s="47">
        <f t="shared" si="16"/>
        <v>369.59999999999997</v>
      </c>
      <c r="U22" s="48">
        <f t="shared" si="16"/>
        <v>382.79999999999995</v>
      </c>
      <c r="V22" s="46">
        <f t="shared" si="16"/>
        <v>400.9</v>
      </c>
      <c r="W22" s="47">
        <f t="shared" si="16"/>
        <v>426.70000000000005</v>
      </c>
      <c r="X22" s="47">
        <f aca="true" t="shared" si="17" ref="X22:AC22">SUM(X23:X25)</f>
        <v>447.2</v>
      </c>
      <c r="Y22" s="48">
        <f t="shared" si="17"/>
        <v>470.5</v>
      </c>
      <c r="Z22" s="46">
        <f t="shared" si="17"/>
        <v>506.59999999999997</v>
      </c>
      <c r="AA22" s="47">
        <f t="shared" si="17"/>
        <v>569.4</v>
      </c>
      <c r="AB22" s="47">
        <f t="shared" si="17"/>
        <v>470.6</v>
      </c>
      <c r="AC22" s="48">
        <f t="shared" si="17"/>
        <v>486.9</v>
      </c>
      <c r="AD22" s="46">
        <f aca="true" t="shared" si="18" ref="AD22:AI22">SUM(AD23:AD25)</f>
        <v>525</v>
      </c>
      <c r="AE22" s="47">
        <f t="shared" si="18"/>
        <v>536.8000000000001</v>
      </c>
      <c r="AF22" s="47">
        <f t="shared" si="18"/>
        <v>550.1999999999999</v>
      </c>
      <c r="AG22" s="48">
        <f t="shared" si="18"/>
        <v>566.6</v>
      </c>
      <c r="AH22" s="47">
        <f t="shared" si="18"/>
        <v>602</v>
      </c>
      <c r="AI22" s="47">
        <f t="shared" si="18"/>
        <v>626.1</v>
      </c>
      <c r="AJ22" s="47">
        <f aca="true" t="shared" si="19" ref="AJ22:AQ22">SUM(AJ23:AJ25)</f>
        <v>514.7</v>
      </c>
      <c r="AK22" s="48">
        <f t="shared" si="19"/>
        <v>515.9</v>
      </c>
      <c r="AL22" s="47">
        <f t="shared" si="19"/>
        <v>494.6</v>
      </c>
      <c r="AM22" s="47">
        <f t="shared" si="19"/>
        <v>515.8</v>
      </c>
      <c r="AN22" s="47">
        <f t="shared" si="19"/>
        <v>468.3</v>
      </c>
      <c r="AO22" s="48">
        <f t="shared" si="19"/>
        <v>531.5</v>
      </c>
      <c r="AP22" s="47">
        <f t="shared" si="19"/>
        <v>567.3999999999999</v>
      </c>
      <c r="AQ22" s="47">
        <f t="shared" si="19"/>
        <v>606.5</v>
      </c>
    </row>
    <row r="23" spans="1:43" ht="12.75">
      <c r="A23" s="87" t="s">
        <v>145</v>
      </c>
      <c r="B23" s="123"/>
      <c r="C23" s="124"/>
      <c r="D23" s="124"/>
      <c r="E23" s="124"/>
      <c r="F23" s="123"/>
      <c r="G23" s="40">
        <v>28.5</v>
      </c>
      <c r="H23" s="40">
        <v>32.8</v>
      </c>
      <c r="I23" s="41">
        <v>44.9</v>
      </c>
      <c r="J23" s="39">
        <v>51.7</v>
      </c>
      <c r="K23" s="40">
        <v>56.6</v>
      </c>
      <c r="L23" s="40">
        <v>63.9</v>
      </c>
      <c r="M23" s="41">
        <v>75.9</v>
      </c>
      <c r="N23" s="39">
        <v>85.6</v>
      </c>
      <c r="O23" s="40">
        <v>88.1</v>
      </c>
      <c r="P23" s="40">
        <v>92.2</v>
      </c>
      <c r="Q23" s="41">
        <v>90.1</v>
      </c>
      <c r="R23" s="39">
        <v>98.4</v>
      </c>
      <c r="S23" s="40">
        <v>97.8</v>
      </c>
      <c r="T23" s="40">
        <v>98.7</v>
      </c>
      <c r="U23" s="41">
        <v>96.9</v>
      </c>
      <c r="V23" s="39">
        <v>95.89999999999999</v>
      </c>
      <c r="W23" s="40">
        <v>96.9</v>
      </c>
      <c r="X23" s="40">
        <v>96</v>
      </c>
      <c r="Y23" s="41">
        <v>70.39999999999999</v>
      </c>
      <c r="Z23" s="39">
        <v>86.5</v>
      </c>
      <c r="AA23" s="40">
        <v>91.3</v>
      </c>
      <c r="AB23" s="40">
        <v>105.19999999999999</v>
      </c>
      <c r="AC23" s="41">
        <v>103.5</v>
      </c>
      <c r="AD23" s="39">
        <v>108.3</v>
      </c>
      <c r="AE23" s="40">
        <v>106.60000000000001</v>
      </c>
      <c r="AF23" s="40">
        <v>103.8</v>
      </c>
      <c r="AG23" s="41">
        <v>87.8</v>
      </c>
      <c r="AH23" s="40">
        <v>97.8</v>
      </c>
      <c r="AI23" s="40">
        <v>101.5</v>
      </c>
      <c r="AJ23" s="40">
        <v>106.5</v>
      </c>
      <c r="AK23" s="41">
        <v>101.7</v>
      </c>
      <c r="AL23" s="40">
        <v>103.3</v>
      </c>
      <c r="AM23" s="40">
        <v>99.7</v>
      </c>
      <c r="AN23" s="40">
        <v>104.1</v>
      </c>
      <c r="AO23" s="41">
        <v>141.9</v>
      </c>
      <c r="AP23" s="40">
        <v>139.2</v>
      </c>
      <c r="AQ23" s="40">
        <v>155.6</v>
      </c>
    </row>
    <row r="24" spans="1:43" ht="12.75">
      <c r="A24" s="38" t="s">
        <v>146</v>
      </c>
      <c r="B24" s="123"/>
      <c r="C24" s="124"/>
      <c r="D24" s="124"/>
      <c r="E24" s="124"/>
      <c r="F24" s="123"/>
      <c r="G24" s="40">
        <v>104.2</v>
      </c>
      <c r="H24" s="40">
        <v>108.4</v>
      </c>
      <c r="I24" s="41">
        <v>119.3</v>
      </c>
      <c r="J24" s="39">
        <v>129</v>
      </c>
      <c r="K24" s="40">
        <v>141.7</v>
      </c>
      <c r="L24" s="40">
        <v>138.7</v>
      </c>
      <c r="M24" s="41">
        <v>148.2</v>
      </c>
      <c r="N24" s="39">
        <v>160.4</v>
      </c>
      <c r="O24" s="40">
        <v>170.9</v>
      </c>
      <c r="P24" s="40">
        <v>188.7</v>
      </c>
      <c r="Q24" s="41">
        <v>215.4</v>
      </c>
      <c r="R24" s="39">
        <v>236.5</v>
      </c>
      <c r="S24" s="40">
        <v>250.9</v>
      </c>
      <c r="T24" s="40">
        <v>270.9</v>
      </c>
      <c r="U24" s="41">
        <v>285.9</v>
      </c>
      <c r="V24" s="39">
        <v>305</v>
      </c>
      <c r="W24" s="40">
        <v>329.8</v>
      </c>
      <c r="X24" s="40">
        <v>351.2</v>
      </c>
      <c r="Y24" s="41">
        <v>400.1</v>
      </c>
      <c r="Z24" s="39">
        <v>420.09999999999997</v>
      </c>
      <c r="AA24" s="40">
        <v>478.1</v>
      </c>
      <c r="AB24" s="40">
        <v>365.40000000000003</v>
      </c>
      <c r="AC24" s="41">
        <v>383.4</v>
      </c>
      <c r="AD24" s="39">
        <v>416.7</v>
      </c>
      <c r="AE24" s="40">
        <v>430.20000000000005</v>
      </c>
      <c r="AF24" s="40">
        <v>446.4</v>
      </c>
      <c r="AG24" s="41">
        <v>478.8</v>
      </c>
      <c r="AH24" s="40">
        <v>504.20000000000005</v>
      </c>
      <c r="AI24" s="40">
        <v>524.5</v>
      </c>
      <c r="AJ24" s="40">
        <v>408.1</v>
      </c>
      <c r="AK24" s="41">
        <v>414.2</v>
      </c>
      <c r="AL24" s="40">
        <v>382.8</v>
      </c>
      <c r="AM24" s="40">
        <v>407.3</v>
      </c>
      <c r="AN24" s="40">
        <v>355.5</v>
      </c>
      <c r="AO24" s="41">
        <v>385.3</v>
      </c>
      <c r="AP24" s="40">
        <v>423.9</v>
      </c>
      <c r="AQ24" s="40">
        <v>446</v>
      </c>
    </row>
    <row r="25" spans="1:43" s="7" customFormat="1" ht="12.75">
      <c r="A25" s="38" t="s">
        <v>147</v>
      </c>
      <c r="B25" s="123"/>
      <c r="C25" s="124"/>
      <c r="D25" s="124"/>
      <c r="E25" s="124"/>
      <c r="F25" s="123"/>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1">
        <v>0</v>
      </c>
      <c r="AD25" s="39">
        <v>0</v>
      </c>
      <c r="AE25" s="40">
        <v>0</v>
      </c>
      <c r="AF25" s="40">
        <v>0</v>
      </c>
      <c r="AG25" s="41">
        <v>0</v>
      </c>
      <c r="AH25" s="40">
        <v>0</v>
      </c>
      <c r="AI25" s="40">
        <v>0.1</v>
      </c>
      <c r="AJ25" s="40">
        <v>0.1</v>
      </c>
      <c r="AK25" s="41">
        <v>0</v>
      </c>
      <c r="AL25" s="40">
        <v>8.5</v>
      </c>
      <c r="AM25" s="40">
        <v>8.8</v>
      </c>
      <c r="AN25" s="40">
        <v>8.7</v>
      </c>
      <c r="AO25" s="41">
        <v>4.3</v>
      </c>
      <c r="AP25" s="40">
        <v>4.3</v>
      </c>
      <c r="AQ25" s="40">
        <v>4.9</v>
      </c>
    </row>
    <row r="26" spans="1:43" ht="12.75">
      <c r="A26" s="38" t="s">
        <v>148</v>
      </c>
      <c r="B26" s="123"/>
      <c r="C26" s="124"/>
      <c r="D26" s="124"/>
      <c r="E26" s="124"/>
      <c r="F26" s="123"/>
      <c r="G26" s="40"/>
      <c r="H26" s="40"/>
      <c r="I26" s="41"/>
      <c r="J26" s="39"/>
      <c r="K26" s="40"/>
      <c r="L26" s="40"/>
      <c r="M26" s="41"/>
      <c r="N26" s="39"/>
      <c r="O26" s="40"/>
      <c r="P26" s="40"/>
      <c r="Q26" s="41"/>
      <c r="R26" s="39"/>
      <c r="S26" s="40"/>
      <c r="T26" s="40"/>
      <c r="U26" s="41"/>
      <c r="V26" s="39"/>
      <c r="W26" s="40"/>
      <c r="X26" s="40"/>
      <c r="Y26" s="41"/>
      <c r="Z26" s="39"/>
      <c r="AA26" s="40"/>
      <c r="AB26" s="40"/>
      <c r="AC26" s="41"/>
      <c r="AD26" s="39"/>
      <c r="AE26" s="40"/>
      <c r="AF26" s="40"/>
      <c r="AG26" s="41"/>
      <c r="AH26" s="40"/>
      <c r="AI26" s="40"/>
      <c r="AJ26" s="40"/>
      <c r="AK26" s="41"/>
      <c r="AL26" s="40"/>
      <c r="AM26" s="40"/>
      <c r="AN26" s="40"/>
      <c r="AO26" s="41"/>
      <c r="AP26" s="40"/>
      <c r="AQ26" s="40"/>
    </row>
    <row r="27" spans="1:43" ht="12.75">
      <c r="A27" s="38" t="s">
        <v>204</v>
      </c>
      <c r="B27" s="125"/>
      <c r="C27" s="126"/>
      <c r="D27" s="126"/>
      <c r="E27" s="126"/>
      <c r="F27" s="125"/>
      <c r="G27" s="127">
        <f aca="true" t="shared" si="20" ref="G27:AA27">G21/G19</f>
        <v>0.02473880988154722</v>
      </c>
      <c r="H27" s="127">
        <f t="shared" si="20"/>
        <v>0.02073110131064041</v>
      </c>
      <c r="I27" s="128">
        <f t="shared" si="20"/>
        <v>0.021175471517210203</v>
      </c>
      <c r="J27" s="129">
        <f t="shared" si="20"/>
        <v>0.01890312150230071</v>
      </c>
      <c r="K27" s="127">
        <f t="shared" si="20"/>
        <v>0.019711104423713516</v>
      </c>
      <c r="L27" s="127">
        <f t="shared" si="20"/>
        <v>0.018715588344105676</v>
      </c>
      <c r="M27" s="128">
        <f t="shared" si="20"/>
        <v>0.019750327976385696</v>
      </c>
      <c r="N27" s="129">
        <f t="shared" si="20"/>
        <v>0.023334996624497343</v>
      </c>
      <c r="O27" s="127">
        <f t="shared" si="20"/>
        <v>0.023612899739735772</v>
      </c>
      <c r="P27" s="127">
        <f t="shared" si="20"/>
        <v>0.025081149961685166</v>
      </c>
      <c r="Q27" s="128">
        <f t="shared" si="20"/>
        <v>0.026201289421030904</v>
      </c>
      <c r="R27" s="129">
        <f t="shared" si="20"/>
        <v>0.026016732689925205</v>
      </c>
      <c r="S27" s="127">
        <f t="shared" si="20"/>
        <v>0.026940880740059257</v>
      </c>
      <c r="T27" s="127">
        <f t="shared" si="20"/>
        <v>0.027509181189221903</v>
      </c>
      <c r="U27" s="128">
        <f t="shared" si="20"/>
        <v>0.027970071091152585</v>
      </c>
      <c r="V27" s="129">
        <f t="shared" si="20"/>
        <v>0.028837909480642736</v>
      </c>
      <c r="W27" s="127">
        <f t="shared" si="20"/>
        <v>0.02936495907850864</v>
      </c>
      <c r="X27" s="127">
        <f t="shared" si="20"/>
        <v>0.030491196117857732</v>
      </c>
      <c r="Y27" s="128">
        <f t="shared" si="20"/>
        <v>0.03112674362674363</v>
      </c>
      <c r="Z27" s="129">
        <f t="shared" si="20"/>
        <v>0.03173349056603774</v>
      </c>
      <c r="AA27" s="127">
        <f t="shared" si="20"/>
        <v>0.034906043906405275</v>
      </c>
      <c r="AB27" s="127">
        <f aca="true" t="shared" si="21" ref="AB27:AG27">AB21/AB19</f>
        <v>0.02645456287818635</v>
      </c>
      <c r="AC27" s="128">
        <f t="shared" si="21"/>
        <v>0.02707303234173624</v>
      </c>
      <c r="AD27" s="129">
        <f t="shared" si="21"/>
        <v>0.027120103314679296</v>
      </c>
      <c r="AE27" s="127">
        <f t="shared" si="21"/>
        <v>0.026647430516108603</v>
      </c>
      <c r="AF27" s="127">
        <f t="shared" si="21"/>
        <v>0.026187723880064507</v>
      </c>
      <c r="AG27" s="128">
        <f t="shared" si="21"/>
        <v>0.026391253288665144</v>
      </c>
      <c r="AH27" s="127">
        <f aca="true" t="shared" si="22" ref="AH27:AP27">AH21/AH19</f>
        <v>0.026341715244466435</v>
      </c>
      <c r="AI27" s="127">
        <f t="shared" si="22"/>
        <v>0.025635614715013293</v>
      </c>
      <c r="AJ27" s="127">
        <f t="shared" si="22"/>
        <v>0.020315435190983097</v>
      </c>
      <c r="AK27" s="128">
        <f t="shared" si="22"/>
        <v>0.02049634263897027</v>
      </c>
      <c r="AL27" s="127">
        <f t="shared" si="22"/>
        <v>0.01826303087064587</v>
      </c>
      <c r="AM27" s="127">
        <f>AM21/AM19</f>
        <v>0.01843846403636954</v>
      </c>
      <c r="AN27" s="127">
        <f>AN21/AN19</f>
        <v>0.01627765533748831</v>
      </c>
      <c r="AO27" s="128">
        <f t="shared" si="22"/>
        <v>0.017025593699234527</v>
      </c>
      <c r="AP27" s="127">
        <f t="shared" si="22"/>
        <v>0.018096028206989523</v>
      </c>
      <c r="AQ27" s="127">
        <f>AQ21/AQ19</f>
        <v>0.01846666647242383</v>
      </c>
    </row>
    <row r="28" spans="1:43" s="9" customFormat="1" ht="12.75">
      <c r="A28" s="38" t="s">
        <v>149</v>
      </c>
      <c r="B28" s="125"/>
      <c r="C28" s="126"/>
      <c r="D28" s="126"/>
      <c r="E28" s="126"/>
      <c r="F28" s="125"/>
      <c r="G28" s="127">
        <f aca="true" t="shared" si="23" ref="G28:AA28">G24/G21</f>
        <v>0.7358757062146893</v>
      </c>
      <c r="H28" s="127">
        <f t="shared" si="23"/>
        <v>0.8119850187265918</v>
      </c>
      <c r="I28" s="128">
        <f t="shared" si="23"/>
        <v>0.7716688227684346</v>
      </c>
      <c r="J28" s="129">
        <f t="shared" si="23"/>
        <v>0.8486842105263158</v>
      </c>
      <c r="K28" s="127">
        <f t="shared" si="23"/>
        <v>0.8320610687022899</v>
      </c>
      <c r="L28" s="127">
        <f t="shared" si="23"/>
        <v>0.8063953488372092</v>
      </c>
      <c r="M28" s="128">
        <f t="shared" si="23"/>
        <v>0.7690710949662688</v>
      </c>
      <c r="N28" s="129">
        <f t="shared" si="23"/>
        <v>0.6725366876310273</v>
      </c>
      <c r="O28" s="127">
        <f t="shared" si="23"/>
        <v>0.6517925247902365</v>
      </c>
      <c r="P28" s="127">
        <f t="shared" si="23"/>
        <v>0.6477857878475798</v>
      </c>
      <c r="Q28" s="128">
        <f t="shared" si="23"/>
        <v>0.6527272727272727</v>
      </c>
      <c r="R28" s="129">
        <f t="shared" si="23"/>
        <v>0.6951793062904175</v>
      </c>
      <c r="S28" s="127">
        <f t="shared" si="23"/>
        <v>0.6746437214304921</v>
      </c>
      <c r="T28" s="127">
        <f t="shared" si="23"/>
        <v>0.6772499999999999</v>
      </c>
      <c r="U28" s="128">
        <f t="shared" si="23"/>
        <v>0.6810385898046688</v>
      </c>
      <c r="V28" s="129">
        <f t="shared" si="23"/>
        <v>0.6922378574670903</v>
      </c>
      <c r="W28" s="127">
        <f t="shared" si="23"/>
        <v>0.709247311827957</v>
      </c>
      <c r="X28" s="127">
        <f t="shared" si="23"/>
        <v>0.7039486871116456</v>
      </c>
      <c r="Y28" s="128">
        <f t="shared" si="23"/>
        <v>0.7728414139463009</v>
      </c>
      <c r="Z28" s="129">
        <f t="shared" si="23"/>
        <v>0.780564845782237</v>
      </c>
      <c r="AA28" s="127">
        <f t="shared" si="23"/>
        <v>0.7733743125202199</v>
      </c>
      <c r="AB28" s="127">
        <f aca="true" t="shared" si="24" ref="AB28:AG28">AB24/AB21</f>
        <v>0.7563651417925895</v>
      </c>
      <c r="AC28" s="128">
        <f t="shared" si="24"/>
        <v>0.7652694610778442</v>
      </c>
      <c r="AD28" s="129">
        <f t="shared" si="24"/>
        <v>0.8066202090592334</v>
      </c>
      <c r="AE28" s="127">
        <f t="shared" si="24"/>
        <v>0.8115449915110357</v>
      </c>
      <c r="AF28" s="127">
        <f t="shared" si="24"/>
        <v>0.8108991825613079</v>
      </c>
      <c r="AG28" s="128">
        <f t="shared" si="24"/>
        <v>0.8258020006898932</v>
      </c>
      <c r="AH28" s="127">
        <f aca="true" t="shared" si="25" ref="AH28:AP28">AH24/AH21</f>
        <v>0.8234525559366325</v>
      </c>
      <c r="AI28" s="127">
        <f t="shared" si="25"/>
        <v>0.8302991926547412</v>
      </c>
      <c r="AJ28" s="127">
        <f t="shared" si="25"/>
        <v>0.7861683683298016</v>
      </c>
      <c r="AK28" s="128">
        <f t="shared" si="25"/>
        <v>0.7639247510143857</v>
      </c>
      <c r="AL28" s="127">
        <f t="shared" si="25"/>
        <v>0.7550295857988166</v>
      </c>
      <c r="AM28" s="127">
        <f>AM24/AM21</f>
        <v>0.7472023481929921</v>
      </c>
      <c r="AN28" s="127">
        <f>AN24/AN21</f>
        <v>0.7141422257934913</v>
      </c>
      <c r="AO28" s="128">
        <f t="shared" si="25"/>
        <v>0.7152403935400037</v>
      </c>
      <c r="AP28" s="127">
        <f t="shared" si="25"/>
        <v>0.7144783414798584</v>
      </c>
      <c r="AQ28" s="127">
        <f>AQ24/AQ21</f>
        <v>0.7036920164089618</v>
      </c>
    </row>
    <row r="29" spans="1:43" ht="12.75">
      <c r="A29" s="38"/>
      <c r="B29" s="130"/>
      <c r="C29" s="131"/>
      <c r="D29" s="131"/>
      <c r="E29" s="131"/>
      <c r="F29" s="130"/>
      <c r="G29" s="27"/>
      <c r="H29" s="27"/>
      <c r="I29" s="28"/>
      <c r="J29" s="26"/>
      <c r="K29" s="27"/>
      <c r="L29" s="27"/>
      <c r="M29" s="28"/>
      <c r="N29" s="26"/>
      <c r="O29" s="27"/>
      <c r="P29" s="27"/>
      <c r="Q29" s="28"/>
      <c r="R29" s="26"/>
      <c r="S29" s="27"/>
      <c r="T29" s="27"/>
      <c r="U29" s="28"/>
      <c r="V29" s="26"/>
      <c r="W29" s="27"/>
      <c r="X29" s="27"/>
      <c r="Y29" s="28"/>
      <c r="Z29" s="26"/>
      <c r="AA29" s="27"/>
      <c r="AB29" s="27"/>
      <c r="AC29" s="28"/>
      <c r="AD29" s="26"/>
      <c r="AE29" s="27"/>
      <c r="AF29" s="27"/>
      <c r="AG29" s="28"/>
      <c r="AH29" s="27"/>
      <c r="AI29" s="27"/>
      <c r="AJ29" s="27"/>
      <c r="AK29" s="28"/>
      <c r="AL29" s="27"/>
      <c r="AM29" s="27"/>
      <c r="AN29" s="27"/>
      <c r="AO29" s="28"/>
      <c r="AP29" s="27"/>
      <c r="AQ29" s="27"/>
    </row>
    <row r="30" spans="1:43" s="13" customFormat="1" ht="12.75">
      <c r="A30" s="98" t="s">
        <v>151</v>
      </c>
      <c r="B30" s="132"/>
      <c r="C30" s="133"/>
      <c r="D30" s="133"/>
      <c r="E30" s="133"/>
      <c r="F30" s="132"/>
      <c r="G30" s="94">
        <f>G7+G19</f>
        <v>19814.3</v>
      </c>
      <c r="H30" s="94">
        <f aca="true" t="shared" si="26" ref="H30:AA30">H7+H19</f>
        <v>22105.7</v>
      </c>
      <c r="I30" s="95">
        <f t="shared" si="26"/>
        <v>24298.000000000004</v>
      </c>
      <c r="J30" s="93">
        <f t="shared" si="26"/>
        <v>25614.5</v>
      </c>
      <c r="K30" s="94">
        <f t="shared" si="26"/>
        <v>25776.7</v>
      </c>
      <c r="L30" s="94">
        <f t="shared" si="26"/>
        <v>26134</v>
      </c>
      <c r="M30" s="95">
        <f t="shared" si="26"/>
        <v>27361.4</v>
      </c>
      <c r="N30" s="93">
        <f t="shared" si="26"/>
        <v>27576.4</v>
      </c>
      <c r="O30" s="94">
        <f t="shared" si="26"/>
        <v>28994.4</v>
      </c>
      <c r="P30" s="94">
        <f t="shared" si="26"/>
        <v>30667.8</v>
      </c>
      <c r="Q30" s="95">
        <f t="shared" si="26"/>
        <v>32178.299999999996</v>
      </c>
      <c r="R30" s="93">
        <f t="shared" si="26"/>
        <v>32988.7</v>
      </c>
      <c r="S30" s="94">
        <f t="shared" si="26"/>
        <v>34754.7</v>
      </c>
      <c r="T30" s="94">
        <f t="shared" si="26"/>
        <v>36919.2</v>
      </c>
      <c r="U30" s="95">
        <f t="shared" si="26"/>
        <v>39466.1</v>
      </c>
      <c r="V30" s="93">
        <f t="shared" si="26"/>
        <v>45105.899999999994</v>
      </c>
      <c r="W30" s="94">
        <f t="shared" si="26"/>
        <v>45907.6</v>
      </c>
      <c r="X30" s="94">
        <f t="shared" si="26"/>
        <v>46744.9</v>
      </c>
      <c r="Y30" s="95">
        <f t="shared" si="26"/>
        <v>46510</v>
      </c>
      <c r="Z30" s="93">
        <f t="shared" si="26"/>
        <v>46670.399999999994</v>
      </c>
      <c r="AA30" s="94">
        <f t="shared" si="26"/>
        <v>48136.7</v>
      </c>
      <c r="AB30" s="94">
        <f aca="true" t="shared" si="27" ref="AB30:AG30">AB7+AB19</f>
        <v>49764.5</v>
      </c>
      <c r="AC30" s="95">
        <f t="shared" si="27"/>
        <v>49982.299999999996</v>
      </c>
      <c r="AD30" s="93">
        <f t="shared" si="27"/>
        <v>52346.2</v>
      </c>
      <c r="AE30" s="94">
        <f t="shared" si="27"/>
        <v>55099.1</v>
      </c>
      <c r="AF30" s="94">
        <f t="shared" si="27"/>
        <v>57750.8</v>
      </c>
      <c r="AG30" s="95">
        <f t="shared" si="27"/>
        <v>58750.5</v>
      </c>
      <c r="AH30" s="94">
        <f aca="true" t="shared" si="28" ref="AH30:AP30">AH7+AH19</f>
        <v>61323.100000000006</v>
      </c>
      <c r="AI30" s="94">
        <f t="shared" si="28"/>
        <v>65943.7</v>
      </c>
      <c r="AJ30" s="94">
        <f t="shared" si="28"/>
        <v>69046.5</v>
      </c>
      <c r="AK30" s="95">
        <f t="shared" si="28"/>
        <v>70046.9</v>
      </c>
      <c r="AL30" s="94">
        <f t="shared" si="28"/>
        <v>72907</v>
      </c>
      <c r="AM30" s="94">
        <f>AM7+AM19</f>
        <v>75810.8</v>
      </c>
      <c r="AN30" s="94">
        <f>AN7+AN19</f>
        <v>77888.3</v>
      </c>
      <c r="AO30" s="95">
        <f t="shared" si="28"/>
        <v>79447.9</v>
      </c>
      <c r="AP30" s="94">
        <f t="shared" si="28"/>
        <v>82130</v>
      </c>
      <c r="AQ30" s="94">
        <f>AQ7+AQ19</f>
        <v>84778.5</v>
      </c>
    </row>
    <row r="31" spans="1:43" ht="12.75">
      <c r="A31" s="25"/>
      <c r="B31" s="123"/>
      <c r="C31" s="124"/>
      <c r="D31" s="124"/>
      <c r="E31" s="124"/>
      <c r="F31" s="123"/>
      <c r="G31" s="40"/>
      <c r="H31" s="40"/>
      <c r="I31" s="41"/>
      <c r="J31" s="39"/>
      <c r="K31" s="40"/>
      <c r="L31" s="40"/>
      <c r="M31" s="41"/>
      <c r="N31" s="39"/>
      <c r="O31" s="40"/>
      <c r="P31" s="40"/>
      <c r="Q31" s="41"/>
      <c r="R31" s="39"/>
      <c r="S31" s="40"/>
      <c r="T31" s="40"/>
      <c r="U31" s="41"/>
      <c r="V31" s="39"/>
      <c r="W31" s="40"/>
      <c r="X31" s="40"/>
      <c r="Y31" s="41"/>
      <c r="Z31" s="39"/>
      <c r="AA31" s="40"/>
      <c r="AB31" s="40"/>
      <c r="AC31" s="41"/>
      <c r="AD31" s="39"/>
      <c r="AE31" s="40"/>
      <c r="AF31" s="40"/>
      <c r="AG31" s="41"/>
      <c r="AH31" s="40"/>
      <c r="AI31" s="40"/>
      <c r="AJ31" s="40"/>
      <c r="AK31" s="41"/>
      <c r="AL31" s="40"/>
      <c r="AM31" s="40"/>
      <c r="AN31" s="40"/>
      <c r="AO31" s="41"/>
      <c r="AP31" s="40"/>
      <c r="AQ31" s="40"/>
    </row>
    <row r="32" spans="1:43" s="13" customFormat="1" ht="21" customHeight="1">
      <c r="A32" s="98" t="s">
        <v>152</v>
      </c>
      <c r="B32" s="132"/>
      <c r="C32" s="133"/>
      <c r="D32" s="133"/>
      <c r="E32" s="133"/>
      <c r="F32" s="132"/>
      <c r="G32" s="94">
        <f aca="true" t="shared" si="29" ref="G32:AA32">G33+G34</f>
        <v>401.1</v>
      </c>
      <c r="H32" s="94">
        <f t="shared" si="29"/>
        <v>412.7</v>
      </c>
      <c r="I32" s="95">
        <f t="shared" si="29"/>
        <v>502.9</v>
      </c>
      <c r="J32" s="93">
        <f t="shared" si="29"/>
        <v>681.3000000000001</v>
      </c>
      <c r="K32" s="94">
        <f t="shared" si="29"/>
        <v>770</v>
      </c>
      <c r="L32" s="94">
        <f t="shared" si="29"/>
        <v>816.2999999999998</v>
      </c>
      <c r="M32" s="95">
        <f t="shared" si="29"/>
        <v>892.8000000000001</v>
      </c>
      <c r="N32" s="93">
        <f t="shared" si="29"/>
        <v>943.6</v>
      </c>
      <c r="O32" s="94">
        <f t="shared" si="29"/>
        <v>985.6</v>
      </c>
      <c r="P32" s="94">
        <f t="shared" si="29"/>
        <v>1046.3</v>
      </c>
      <c r="Q32" s="95">
        <f t="shared" si="29"/>
        <v>1091.3</v>
      </c>
      <c r="R32" s="93">
        <f t="shared" si="29"/>
        <v>1130.3000000000002</v>
      </c>
      <c r="S32" s="94">
        <f t="shared" si="29"/>
        <v>1147.6</v>
      </c>
      <c r="T32" s="94">
        <f t="shared" si="29"/>
        <v>1188.3</v>
      </c>
      <c r="U32" s="95">
        <f t="shared" si="29"/>
        <v>1119.3999999999999</v>
      </c>
      <c r="V32" s="93">
        <f t="shared" si="29"/>
        <v>1206.5</v>
      </c>
      <c r="W32" s="94">
        <f t="shared" si="29"/>
        <v>1304.1999999999998</v>
      </c>
      <c r="X32" s="94">
        <f t="shared" si="29"/>
        <v>1374.7</v>
      </c>
      <c r="Y32" s="95">
        <f t="shared" si="29"/>
        <v>1446.3</v>
      </c>
      <c r="Z32" s="93">
        <f t="shared" si="29"/>
        <v>1492.5</v>
      </c>
      <c r="AA32" s="94">
        <f t="shared" si="29"/>
        <v>1596.7</v>
      </c>
      <c r="AB32" s="94">
        <f aca="true" t="shared" si="30" ref="AB32:AG32">AB33+AB34</f>
        <v>1509.3000000000002</v>
      </c>
      <c r="AC32" s="95">
        <f t="shared" si="30"/>
        <v>1567.9</v>
      </c>
      <c r="AD32" s="93">
        <f t="shared" si="30"/>
        <v>1652.7</v>
      </c>
      <c r="AE32" s="94">
        <f t="shared" si="30"/>
        <v>1628.4</v>
      </c>
      <c r="AF32" s="94">
        <f t="shared" si="30"/>
        <v>1677.8</v>
      </c>
      <c r="AG32" s="95">
        <f t="shared" si="30"/>
        <v>1738.6</v>
      </c>
      <c r="AH32" s="94">
        <f aca="true" t="shared" si="31" ref="AH32:AP32">AH33+AH34</f>
        <v>1805.1000000000001</v>
      </c>
      <c r="AI32" s="94">
        <f t="shared" si="31"/>
        <v>1675.6000000000001</v>
      </c>
      <c r="AJ32" s="94">
        <f t="shared" si="31"/>
        <v>1519.5</v>
      </c>
      <c r="AK32" s="95">
        <f t="shared" si="31"/>
        <v>1572</v>
      </c>
      <c r="AL32" s="94">
        <f t="shared" si="31"/>
        <v>1596.9999999999998</v>
      </c>
      <c r="AM32" s="94">
        <f>AM33+AM34</f>
        <v>1521.1</v>
      </c>
      <c r="AN32" s="94">
        <f>AN33+AN34</f>
        <v>1492.9</v>
      </c>
      <c r="AO32" s="95">
        <f t="shared" si="31"/>
        <v>1493.8</v>
      </c>
      <c r="AP32" s="94">
        <f t="shared" si="31"/>
        <v>1540.7</v>
      </c>
      <c r="AQ32" s="94">
        <f>AQ33+AQ34</f>
        <v>1569.8999999999999</v>
      </c>
    </row>
    <row r="33" spans="1:43" ht="12.75">
      <c r="A33" s="38" t="s">
        <v>153</v>
      </c>
      <c r="B33" s="123"/>
      <c r="C33" s="124"/>
      <c r="D33" s="124"/>
      <c r="E33" s="124"/>
      <c r="F33" s="123"/>
      <c r="G33" s="40">
        <f aca="true" t="shared" si="32" ref="G33:AA33">G11+G12+G23+G24</f>
        <v>394.8</v>
      </c>
      <c r="H33" s="40">
        <f t="shared" si="32"/>
        <v>405.4</v>
      </c>
      <c r="I33" s="41">
        <f t="shared" si="32"/>
        <v>493.59999999999997</v>
      </c>
      <c r="J33" s="39">
        <f t="shared" si="32"/>
        <v>664.8000000000001</v>
      </c>
      <c r="K33" s="40">
        <f t="shared" si="32"/>
        <v>756.5</v>
      </c>
      <c r="L33" s="40">
        <f t="shared" si="32"/>
        <v>801.3999999999999</v>
      </c>
      <c r="M33" s="41">
        <f t="shared" si="32"/>
        <v>872.7</v>
      </c>
      <c r="N33" s="39">
        <f t="shared" si="32"/>
        <v>926.2</v>
      </c>
      <c r="O33" s="40">
        <f t="shared" si="32"/>
        <v>968</v>
      </c>
      <c r="P33" s="40">
        <f t="shared" si="32"/>
        <v>1037.1</v>
      </c>
      <c r="Q33" s="41">
        <f t="shared" si="32"/>
        <v>1080.2</v>
      </c>
      <c r="R33" s="39">
        <f t="shared" si="32"/>
        <v>1120.4</v>
      </c>
      <c r="S33" s="40">
        <f t="shared" si="32"/>
        <v>1137</v>
      </c>
      <c r="T33" s="40">
        <f t="shared" si="32"/>
        <v>1179.3</v>
      </c>
      <c r="U33" s="41">
        <f t="shared" si="32"/>
        <v>1108.8</v>
      </c>
      <c r="V33" s="39">
        <f t="shared" si="32"/>
        <v>1191.6</v>
      </c>
      <c r="W33" s="40">
        <f t="shared" si="32"/>
        <v>1286.6</v>
      </c>
      <c r="X33" s="40">
        <f t="shared" si="32"/>
        <v>1354.7</v>
      </c>
      <c r="Y33" s="41">
        <f t="shared" si="32"/>
        <v>1424</v>
      </c>
      <c r="Z33" s="39">
        <f t="shared" si="32"/>
        <v>1469</v>
      </c>
      <c r="AA33" s="40">
        <f t="shared" si="32"/>
        <v>1569.5</v>
      </c>
      <c r="AB33" s="40">
        <f aca="true" t="shared" si="33" ref="AB33:AG33">AB11+AB12+AB23+AB24</f>
        <v>1492.9</v>
      </c>
      <c r="AC33" s="41">
        <f t="shared" si="33"/>
        <v>1554.4</v>
      </c>
      <c r="AD33" s="39">
        <f t="shared" si="33"/>
        <v>1638.7</v>
      </c>
      <c r="AE33" s="40">
        <f t="shared" si="33"/>
        <v>1612.2</v>
      </c>
      <c r="AF33" s="40">
        <f t="shared" si="33"/>
        <v>1661.5</v>
      </c>
      <c r="AG33" s="41">
        <f t="shared" si="33"/>
        <v>1720.3</v>
      </c>
      <c r="AH33" s="40">
        <f aca="true" t="shared" si="34" ref="AH33:AP33">AH11+AH12+AH23+AH24</f>
        <v>1791.0000000000002</v>
      </c>
      <c r="AI33" s="40">
        <f t="shared" si="34"/>
        <v>1661.7</v>
      </c>
      <c r="AJ33" s="40">
        <f t="shared" si="34"/>
        <v>1504.9</v>
      </c>
      <c r="AK33" s="41">
        <f t="shared" si="34"/>
        <v>1545.9</v>
      </c>
      <c r="AL33" s="40">
        <f t="shared" si="34"/>
        <v>1555.8999999999999</v>
      </c>
      <c r="AM33" s="40">
        <f>AM11+AM12+AM23+AM24</f>
        <v>1479.6</v>
      </c>
      <c r="AN33" s="40">
        <f>AN11+AN12+AN23+AN24</f>
        <v>1453.7</v>
      </c>
      <c r="AO33" s="41">
        <f t="shared" si="34"/>
        <v>1467</v>
      </c>
      <c r="AP33" s="40">
        <f t="shared" si="34"/>
        <v>1515.5</v>
      </c>
      <c r="AQ33" s="40">
        <f>AQ11+AQ12+AQ23+AQ24</f>
        <v>1535.1</v>
      </c>
    </row>
    <row r="34" spans="1:43" ht="12.75">
      <c r="A34" s="38" t="s">
        <v>147</v>
      </c>
      <c r="B34" s="123"/>
      <c r="C34" s="124"/>
      <c r="D34" s="124"/>
      <c r="E34" s="124"/>
      <c r="F34" s="123"/>
      <c r="G34" s="40">
        <f aca="true" t="shared" si="35" ref="G34:AA34">G13+G25</f>
        <v>6.3</v>
      </c>
      <c r="H34" s="40">
        <f t="shared" si="35"/>
        <v>7.3</v>
      </c>
      <c r="I34" s="41">
        <f t="shared" si="35"/>
        <v>9.3</v>
      </c>
      <c r="J34" s="39">
        <f t="shared" si="35"/>
        <v>16.5</v>
      </c>
      <c r="K34" s="40">
        <f t="shared" si="35"/>
        <v>13.5</v>
      </c>
      <c r="L34" s="40">
        <f t="shared" si="35"/>
        <v>14.9</v>
      </c>
      <c r="M34" s="41">
        <f t="shared" si="35"/>
        <v>20.1</v>
      </c>
      <c r="N34" s="39">
        <f t="shared" si="35"/>
        <v>17.4</v>
      </c>
      <c r="O34" s="40">
        <f t="shared" si="35"/>
        <v>17.6</v>
      </c>
      <c r="P34" s="40">
        <f t="shared" si="35"/>
        <v>9.2</v>
      </c>
      <c r="Q34" s="41">
        <f t="shared" si="35"/>
        <v>11.1</v>
      </c>
      <c r="R34" s="39">
        <f t="shared" si="35"/>
        <v>9.9</v>
      </c>
      <c r="S34" s="40">
        <f t="shared" si="35"/>
        <v>10.6</v>
      </c>
      <c r="T34" s="40">
        <f t="shared" si="35"/>
        <v>9</v>
      </c>
      <c r="U34" s="41">
        <f t="shared" si="35"/>
        <v>10.6</v>
      </c>
      <c r="V34" s="39">
        <f t="shared" si="35"/>
        <v>14.9</v>
      </c>
      <c r="W34" s="40">
        <f t="shared" si="35"/>
        <v>17.6</v>
      </c>
      <c r="X34" s="40">
        <f t="shared" si="35"/>
        <v>20</v>
      </c>
      <c r="Y34" s="41">
        <f t="shared" si="35"/>
        <v>22.3</v>
      </c>
      <c r="Z34" s="39">
        <f t="shared" si="35"/>
        <v>23.5</v>
      </c>
      <c r="AA34" s="40">
        <f t="shared" si="35"/>
        <v>27.2</v>
      </c>
      <c r="AB34" s="40">
        <f aca="true" t="shared" si="36" ref="AB34:AG34">AB13+AB25</f>
        <v>16.4</v>
      </c>
      <c r="AC34" s="41">
        <f t="shared" si="36"/>
        <v>13.5</v>
      </c>
      <c r="AD34" s="39">
        <f t="shared" si="36"/>
        <v>14</v>
      </c>
      <c r="AE34" s="40">
        <f t="shared" si="36"/>
        <v>16.2</v>
      </c>
      <c r="AF34" s="40">
        <f t="shared" si="36"/>
        <v>16.3</v>
      </c>
      <c r="AG34" s="41">
        <f t="shared" si="36"/>
        <v>18.3</v>
      </c>
      <c r="AH34" s="40">
        <f aca="true" t="shared" si="37" ref="AH34:AP34">AH13+AH25</f>
        <v>14.1</v>
      </c>
      <c r="AI34" s="40">
        <f t="shared" si="37"/>
        <v>13.9</v>
      </c>
      <c r="AJ34" s="40">
        <f t="shared" si="37"/>
        <v>14.6</v>
      </c>
      <c r="AK34" s="41">
        <f t="shared" si="37"/>
        <v>26.1</v>
      </c>
      <c r="AL34" s="40">
        <f t="shared" si="37"/>
        <v>41.1</v>
      </c>
      <c r="AM34" s="40">
        <f>AM13+AM25</f>
        <v>41.5</v>
      </c>
      <c r="AN34" s="40">
        <f>AN13+AN25</f>
        <v>39.2</v>
      </c>
      <c r="AO34" s="41">
        <f t="shared" si="37"/>
        <v>26.8</v>
      </c>
      <c r="AP34" s="40">
        <f t="shared" si="37"/>
        <v>25.2</v>
      </c>
      <c r="AQ34" s="40">
        <f>AQ13+AQ25</f>
        <v>34.8</v>
      </c>
    </row>
    <row r="35" spans="1:43" ht="12.75">
      <c r="A35" s="38"/>
      <c r="B35" s="130"/>
      <c r="C35" s="131"/>
      <c r="D35" s="131"/>
      <c r="E35" s="131"/>
      <c r="F35" s="130"/>
      <c r="G35" s="27"/>
      <c r="H35" s="27"/>
      <c r="I35" s="28"/>
      <c r="J35" s="26"/>
      <c r="K35" s="27"/>
      <c r="L35" s="27"/>
      <c r="M35" s="28"/>
      <c r="N35" s="26"/>
      <c r="O35" s="27"/>
      <c r="P35" s="27"/>
      <c r="Q35" s="28"/>
      <c r="R35" s="26"/>
      <c r="S35" s="27"/>
      <c r="T35" s="27"/>
      <c r="U35" s="28"/>
      <c r="V35" s="26"/>
      <c r="W35" s="27"/>
      <c r="X35" s="27"/>
      <c r="Y35" s="28"/>
      <c r="Z35" s="26"/>
      <c r="AA35" s="27"/>
      <c r="AB35" s="27"/>
      <c r="AC35" s="28"/>
      <c r="AD35" s="26"/>
      <c r="AE35" s="27"/>
      <c r="AF35" s="27"/>
      <c r="AG35" s="28"/>
      <c r="AH35" s="27"/>
      <c r="AI35" s="27"/>
      <c r="AJ35" s="27"/>
      <c r="AK35" s="28"/>
      <c r="AL35" s="27"/>
      <c r="AM35" s="27"/>
      <c r="AN35" s="27"/>
      <c r="AO35" s="28"/>
      <c r="AP35" s="27"/>
      <c r="AQ35" s="27"/>
    </row>
    <row r="36" spans="1:43" ht="12.75">
      <c r="A36" s="38" t="s">
        <v>154</v>
      </c>
      <c r="B36" s="125"/>
      <c r="C36" s="126"/>
      <c r="D36" s="126"/>
      <c r="E36" s="126"/>
      <c r="F36" s="125"/>
      <c r="G36" s="127">
        <f aca="true" t="shared" si="38" ref="G36:AA36">G32/G30</f>
        <v>0.020242955845021022</v>
      </c>
      <c r="H36" s="127">
        <f t="shared" si="38"/>
        <v>0.018669392961996226</v>
      </c>
      <c r="I36" s="128">
        <f t="shared" si="38"/>
        <v>0.020697176722363975</v>
      </c>
      <c r="J36" s="129">
        <f t="shared" si="38"/>
        <v>0.026598215854301277</v>
      </c>
      <c r="K36" s="127">
        <f t="shared" si="38"/>
        <v>0.029871938611226417</v>
      </c>
      <c r="L36" s="127">
        <f t="shared" si="38"/>
        <v>0.031235172572128257</v>
      </c>
      <c r="M36" s="128">
        <f t="shared" si="38"/>
        <v>0.032629909288267415</v>
      </c>
      <c r="N36" s="129">
        <f t="shared" si="38"/>
        <v>0.03421766437968698</v>
      </c>
      <c r="O36" s="127">
        <f t="shared" si="38"/>
        <v>0.033992771017851725</v>
      </c>
      <c r="P36" s="127">
        <f t="shared" si="38"/>
        <v>0.03411721740718278</v>
      </c>
      <c r="Q36" s="128">
        <f t="shared" si="38"/>
        <v>0.033914159542300246</v>
      </c>
      <c r="R36" s="129">
        <f t="shared" si="38"/>
        <v>0.034263247718158044</v>
      </c>
      <c r="S36" s="127">
        <f t="shared" si="38"/>
        <v>0.03301999441802116</v>
      </c>
      <c r="T36" s="127">
        <f t="shared" si="38"/>
        <v>0.03218650458298122</v>
      </c>
      <c r="U36" s="128">
        <f t="shared" si="38"/>
        <v>0.028363582923065615</v>
      </c>
      <c r="V36" s="129">
        <f t="shared" si="38"/>
        <v>0.026748163765715798</v>
      </c>
      <c r="W36" s="127">
        <f t="shared" si="38"/>
        <v>0.028409239428765606</v>
      </c>
      <c r="X36" s="127">
        <f t="shared" si="38"/>
        <v>0.029408555799670125</v>
      </c>
      <c r="Y36" s="128">
        <f t="shared" si="38"/>
        <v>0.03109653837884326</v>
      </c>
      <c r="Z36" s="129">
        <f t="shared" si="38"/>
        <v>0.03197958449038363</v>
      </c>
      <c r="AA36" s="127">
        <f t="shared" si="38"/>
        <v>0.03317011760257766</v>
      </c>
      <c r="AB36" s="127">
        <f aca="true" t="shared" si="39" ref="AB36:AG36">AB32/AB30</f>
        <v>0.030328848878216404</v>
      </c>
      <c r="AC36" s="128">
        <f t="shared" si="39"/>
        <v>0.03136910466305073</v>
      </c>
      <c r="AD36" s="129">
        <f t="shared" si="39"/>
        <v>0.03157249236811841</v>
      </c>
      <c r="AE36" s="127">
        <f t="shared" si="39"/>
        <v>0.029554021753531366</v>
      </c>
      <c r="AF36" s="127">
        <f t="shared" si="39"/>
        <v>0.02905241139516682</v>
      </c>
      <c r="AG36" s="128">
        <f t="shared" si="39"/>
        <v>0.0295929396345563</v>
      </c>
      <c r="AH36" s="127">
        <f aca="true" t="shared" si="40" ref="AH36:AP36">AH32/AH30</f>
        <v>0.029435889575054098</v>
      </c>
      <c r="AI36" s="127">
        <f t="shared" si="40"/>
        <v>0.02540955390734824</v>
      </c>
      <c r="AJ36" s="127">
        <f t="shared" si="40"/>
        <v>0.022006908387825597</v>
      </c>
      <c r="AK36" s="128">
        <f t="shared" si="40"/>
        <v>0.022442106645690248</v>
      </c>
      <c r="AL36" s="127">
        <f t="shared" si="40"/>
        <v>0.02190461821224299</v>
      </c>
      <c r="AM36" s="127">
        <f>AM32/AM30</f>
        <v>0.02006442353859872</v>
      </c>
      <c r="AN36" s="127">
        <f>AN32/AN30</f>
        <v>0.019167191991608497</v>
      </c>
      <c r="AO36" s="128">
        <f t="shared" si="40"/>
        <v>0.01880225909054865</v>
      </c>
      <c r="AP36" s="127">
        <f t="shared" si="40"/>
        <v>0.01875928406185316</v>
      </c>
      <c r="AQ36" s="127">
        <f>AQ32/AQ30</f>
        <v>0.018517666625382612</v>
      </c>
    </row>
    <row r="37" spans="1:43" ht="12.75">
      <c r="A37" s="38" t="s">
        <v>204</v>
      </c>
      <c r="B37" s="125"/>
      <c r="C37" s="126"/>
      <c r="D37" s="126"/>
      <c r="E37" s="126"/>
      <c r="F37" s="125"/>
      <c r="G37" s="127">
        <f aca="true" t="shared" si="41" ref="G37:AA37">(G21+G9)/G30</f>
        <v>0.018410945630176184</v>
      </c>
      <c r="H37" s="127">
        <f t="shared" si="41"/>
        <v>0.017823457298343864</v>
      </c>
      <c r="I37" s="128">
        <f t="shared" si="41"/>
        <v>0.020672483331961474</v>
      </c>
      <c r="J37" s="129">
        <f t="shared" si="41"/>
        <v>0.035054363739288295</v>
      </c>
      <c r="K37" s="127">
        <f t="shared" si="41"/>
        <v>0.03982666516660394</v>
      </c>
      <c r="L37" s="127">
        <f t="shared" si="41"/>
        <v>0.036986301369863014</v>
      </c>
      <c r="M37" s="128">
        <f t="shared" si="41"/>
        <v>0.042567266294853336</v>
      </c>
      <c r="N37" s="129">
        <f t="shared" si="41"/>
        <v>0.046351227861504765</v>
      </c>
      <c r="O37" s="127">
        <f t="shared" si="41"/>
        <v>0.045139751124355046</v>
      </c>
      <c r="P37" s="127">
        <f t="shared" si="41"/>
        <v>0.04664501529291309</v>
      </c>
      <c r="Q37" s="128">
        <f t="shared" si="41"/>
        <v>0.046851449579374926</v>
      </c>
      <c r="R37" s="129">
        <f t="shared" si="41"/>
        <v>0.046224919442112</v>
      </c>
      <c r="S37" s="127">
        <f t="shared" si="41"/>
        <v>0.04368330038814894</v>
      </c>
      <c r="T37" s="127">
        <f t="shared" si="41"/>
        <v>0.04304806171314655</v>
      </c>
      <c r="U37" s="128">
        <f t="shared" si="41"/>
        <v>0.03935022715697776</v>
      </c>
      <c r="V37" s="129">
        <f t="shared" si="41"/>
        <v>0.035962036008593115</v>
      </c>
      <c r="W37" s="127">
        <f t="shared" si="41"/>
        <v>0.043337050945812895</v>
      </c>
      <c r="X37" s="127">
        <f t="shared" si="41"/>
        <v>0.043281726990538005</v>
      </c>
      <c r="Y37" s="128">
        <f t="shared" si="41"/>
        <v>0.04074392603741131</v>
      </c>
      <c r="Z37" s="129">
        <f t="shared" si="41"/>
        <v>0.04361008262196168</v>
      </c>
      <c r="AA37" s="127">
        <f t="shared" si="41"/>
        <v>0.04751468214480843</v>
      </c>
      <c r="AB37" s="127">
        <f aca="true" t="shared" si="42" ref="AB37:AG37">(AB21+AB9)/AB30</f>
        <v>0.04409368123863397</v>
      </c>
      <c r="AC37" s="128">
        <f t="shared" si="42"/>
        <v>0.04630839317118261</v>
      </c>
      <c r="AD37" s="129">
        <f t="shared" si="42"/>
        <v>0.0464828392509867</v>
      </c>
      <c r="AE37" s="127">
        <f t="shared" si="42"/>
        <v>0.04352158202221089</v>
      </c>
      <c r="AF37" s="127">
        <f t="shared" si="42"/>
        <v>0.04167561315167929</v>
      </c>
      <c r="AG37" s="128">
        <f t="shared" si="42"/>
        <v>0.040500080850375736</v>
      </c>
      <c r="AH37" s="127">
        <f aca="true" t="shared" si="43" ref="AH37:AP37">(AH21+AH9)/AH30</f>
        <v>0.044678106618876084</v>
      </c>
      <c r="AI37" s="127">
        <f t="shared" si="43"/>
        <v>0.03818712022528308</v>
      </c>
      <c r="AJ37" s="127">
        <f t="shared" si="43"/>
        <v>0.032056657469965895</v>
      </c>
      <c r="AK37" s="128">
        <f t="shared" si="43"/>
        <v>0.03238401699432809</v>
      </c>
      <c r="AL37" s="127">
        <f t="shared" si="43"/>
        <v>0.033371281221281905</v>
      </c>
      <c r="AM37" s="127">
        <f>(AM21+AM9)/AM30</f>
        <v>0.029164710041313373</v>
      </c>
      <c r="AN37" s="127">
        <f>(AN21+AN9)/AN30</f>
        <v>0.027728169699428543</v>
      </c>
      <c r="AO37" s="128">
        <f t="shared" si="43"/>
        <v>0.02614040144547559</v>
      </c>
      <c r="AP37" s="127">
        <f t="shared" si="43"/>
        <v>0.026358212589796665</v>
      </c>
      <c r="AQ37" s="127">
        <f>(AQ21+AQ9)/AQ30</f>
        <v>0.027197933438312782</v>
      </c>
    </row>
    <row r="38" spans="1:43" ht="12.75">
      <c r="A38" s="134" t="s">
        <v>149</v>
      </c>
      <c r="B38" s="135"/>
      <c r="C38" s="136"/>
      <c r="D38" s="136"/>
      <c r="E38" s="136"/>
      <c r="F38" s="135"/>
      <c r="G38" s="137">
        <f aca="true" t="shared" si="44" ref="G38:AA38">(G24+G12)/(G21+G9)</f>
        <v>0.7922149122807018</v>
      </c>
      <c r="H38" s="137">
        <f t="shared" si="44"/>
        <v>0.7647208121827411</v>
      </c>
      <c r="I38" s="138">
        <f t="shared" si="44"/>
        <v>0.7515429026478201</v>
      </c>
      <c r="J38" s="139">
        <f t="shared" si="44"/>
        <v>0.5989531128187994</v>
      </c>
      <c r="K38" s="137">
        <f t="shared" si="44"/>
        <v>0.5993571011104617</v>
      </c>
      <c r="L38" s="137">
        <f t="shared" si="44"/>
        <v>0.6631491827022553</v>
      </c>
      <c r="M38" s="138">
        <f t="shared" si="44"/>
        <v>0.6178415042500214</v>
      </c>
      <c r="N38" s="139">
        <f t="shared" si="44"/>
        <v>0.5981849475825379</v>
      </c>
      <c r="O38" s="137">
        <f t="shared" si="44"/>
        <v>0.6167481662591687</v>
      </c>
      <c r="P38" s="137">
        <f t="shared" si="44"/>
        <v>0.6113946172666899</v>
      </c>
      <c r="Q38" s="138">
        <f t="shared" si="44"/>
        <v>0.615547890687185</v>
      </c>
      <c r="R38" s="139">
        <f t="shared" si="44"/>
        <v>0.6334841628959276</v>
      </c>
      <c r="S38" s="137">
        <f t="shared" si="44"/>
        <v>0.644776709260967</v>
      </c>
      <c r="T38" s="137">
        <f t="shared" si="44"/>
        <v>0.6384571824073492</v>
      </c>
      <c r="U38" s="138">
        <f t="shared" si="44"/>
        <v>0.6110109465550547</v>
      </c>
      <c r="V38" s="139">
        <f t="shared" si="44"/>
        <v>0.6265335059490784</v>
      </c>
      <c r="W38" s="137">
        <f t="shared" si="44"/>
        <v>0.5545614475998994</v>
      </c>
      <c r="X38" s="137">
        <f t="shared" si="44"/>
        <v>0.5832839066824831</v>
      </c>
      <c r="Y38" s="138">
        <f t="shared" si="44"/>
        <v>0.6836939313984168</v>
      </c>
      <c r="Z38" s="139">
        <f t="shared" si="44"/>
        <v>0.6513536088045988</v>
      </c>
      <c r="AA38" s="137">
        <f t="shared" si="44"/>
        <v>0.622507869884575</v>
      </c>
      <c r="AB38" s="137">
        <f aca="true" t="shared" si="45" ref="AB38:AG38">(AB24+AB12)/(AB21+AB9)</f>
        <v>0.612222576675933</v>
      </c>
      <c r="AC38" s="138">
        <f t="shared" si="45"/>
        <v>0.6061522509288861</v>
      </c>
      <c r="AD38" s="139">
        <f t="shared" si="45"/>
        <v>0.6076360348512247</v>
      </c>
      <c r="AE38" s="137">
        <f t="shared" si="45"/>
        <v>0.6055879899916597</v>
      </c>
      <c r="AF38" s="137">
        <f t="shared" si="45"/>
        <v>0.6189130796077779</v>
      </c>
      <c r="AG38" s="138">
        <f t="shared" si="45"/>
        <v>0.6526855509792385</v>
      </c>
      <c r="AH38" s="137">
        <f aca="true" t="shared" si="46" ref="AH38:AP38">(AH24+AH12)/(AH21+AH9)</f>
        <v>0.591941017592525</v>
      </c>
      <c r="AI38" s="137">
        <f t="shared" si="46"/>
        <v>0.5909379715669923</v>
      </c>
      <c r="AJ38" s="137">
        <f t="shared" si="46"/>
        <v>0.5929791271347248</v>
      </c>
      <c r="AK38" s="138">
        <f t="shared" si="46"/>
        <v>0.601745723858226</v>
      </c>
      <c r="AL38" s="137">
        <f t="shared" si="46"/>
        <v>0.5665844636251541</v>
      </c>
      <c r="AM38" s="137">
        <f>(AM24+AM12)/(AM21+AM9)</f>
        <v>0.5888285843509724</v>
      </c>
      <c r="AN38" s="137">
        <f>(AN24+AN12)/(AN21+AN9)</f>
        <v>0.5931842385516506</v>
      </c>
      <c r="AO38" s="138">
        <f t="shared" si="46"/>
        <v>0.6042469183359014</v>
      </c>
      <c r="AP38" s="137">
        <f t="shared" si="46"/>
        <v>0.6043976348854397</v>
      </c>
      <c r="AQ38" s="137">
        <f>(AQ24+AQ12)/(AQ21+AQ9)</f>
        <v>0.567178419637436</v>
      </c>
    </row>
    <row r="40" spans="7:42" ht="12.75">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row>
  </sheetData>
  <sheetProtection/>
  <mergeCells count="12">
    <mergeCell ref="A3:A4"/>
    <mergeCell ref="B3:E3"/>
    <mergeCell ref="F3:I3"/>
    <mergeCell ref="J3:M3"/>
    <mergeCell ref="AH3:AK3"/>
    <mergeCell ref="N3:Q3"/>
    <mergeCell ref="AD3:AG3"/>
    <mergeCell ref="AP3:AQ3"/>
    <mergeCell ref="Z3:AC3"/>
    <mergeCell ref="R3:U3"/>
    <mergeCell ref="V3:Y3"/>
    <mergeCell ref="AL3:AO3"/>
  </mergeCells>
  <printOptions horizontalCentered="1"/>
  <pageMargins left="0.2362204724409449" right="0.2362204724409449" top="0.7480314960629921" bottom="0.7480314960629921" header="0.31496062992125984" footer="0.31496062992125984"/>
  <pageSetup horizontalDpi="600" verticalDpi="600" orientation="landscape" paperSize="9" scale="46" r:id="rId1"/>
  <headerFooter alignWithMargins="0">
    <oddHeader>&amp;C&amp;"Times New Roman,Kursywa"&amp;12
</oddHeader>
  </headerFooter>
</worksheet>
</file>

<file path=xl/worksheets/sheet11.xml><?xml version="1.0" encoding="utf-8"?>
<worksheet xmlns="http://schemas.openxmlformats.org/spreadsheetml/2006/main" xmlns:r="http://schemas.openxmlformats.org/officeDocument/2006/relationships">
  <dimension ref="A1:AQ42"/>
  <sheetViews>
    <sheetView showGridLines="0" view="pageBreakPreview" zoomScaleSheetLayoutView="100" zoomScalePageLayoutView="0" workbookViewId="0" topLeftCell="A1">
      <pane xSplit="1" ySplit="3" topLeftCell="S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cols>
    <col min="1" max="1" width="36.75390625" style="2" customWidth="1"/>
    <col min="2" max="2" width="7.00390625" style="3" bestFit="1" customWidth="1"/>
    <col min="3" max="5" width="6.125" style="3" bestFit="1" customWidth="1"/>
    <col min="6" max="41" width="7.00390625" style="3" bestFit="1" customWidth="1"/>
    <col min="42" max="42" width="7.00390625" style="3" customWidth="1"/>
    <col min="43" max="43" width="8.00390625" style="3" customWidth="1"/>
    <col min="44" max="16384" width="8.875" style="3" customWidth="1"/>
  </cols>
  <sheetData>
    <row r="1" ht="12.75">
      <c r="A1" s="246" t="s">
        <v>281</v>
      </c>
    </row>
    <row r="2" spans="1:43" ht="12.75" customHeight="1">
      <c r="A2" s="332" t="s">
        <v>111</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40">
        <v>2014</v>
      </c>
      <c r="AE2" s="335"/>
      <c r="AF2" s="335"/>
      <c r="AG2" s="336"/>
      <c r="AH2" s="340">
        <v>2015</v>
      </c>
      <c r="AI2" s="335"/>
      <c r="AJ2" s="335"/>
      <c r="AK2" s="336"/>
      <c r="AL2" s="340">
        <v>2016</v>
      </c>
      <c r="AM2" s="335"/>
      <c r="AN2" s="335"/>
      <c r="AO2" s="336"/>
      <c r="AP2" s="346">
        <v>2017</v>
      </c>
      <c r="AQ2" s="347"/>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0" t="s">
        <v>0</v>
      </c>
      <c r="AI3" s="191" t="s">
        <v>1</v>
      </c>
      <c r="AJ3" s="191" t="s">
        <v>2</v>
      </c>
      <c r="AK3" s="192" t="s">
        <v>3</v>
      </c>
      <c r="AL3" s="190" t="s">
        <v>0</v>
      </c>
      <c r="AM3" s="191" t="s">
        <v>1</v>
      </c>
      <c r="AN3" s="191" t="s">
        <v>2</v>
      </c>
      <c r="AO3" s="192" t="s">
        <v>3</v>
      </c>
      <c r="AP3" s="191" t="s">
        <v>0</v>
      </c>
      <c r="AQ3" s="191" t="s">
        <v>1</v>
      </c>
    </row>
    <row r="4" spans="1:43"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16"/>
      <c r="AM4" s="5"/>
      <c r="AN4" s="5"/>
      <c r="AO4" s="18"/>
      <c r="AP4" s="5"/>
      <c r="AQ4" s="5"/>
    </row>
    <row r="5" spans="1:43" s="7" customFormat="1" ht="12.75">
      <c r="A5" s="88" t="s">
        <v>112</v>
      </c>
      <c r="B5" s="46">
        <f aca="true" t="shared" si="0" ref="B5:Z5">SUM(B6:B8)</f>
        <v>9044.1</v>
      </c>
      <c r="C5" s="47">
        <f t="shared" si="0"/>
        <v>4325.6</v>
      </c>
      <c r="D5" s="47">
        <f t="shared" si="0"/>
        <v>5319.099999999999</v>
      </c>
      <c r="E5" s="47">
        <f t="shared" si="0"/>
        <v>4411.7</v>
      </c>
      <c r="F5" s="46">
        <f t="shared" si="0"/>
        <v>4997</v>
      </c>
      <c r="G5" s="47">
        <f t="shared" si="0"/>
        <v>4816.1</v>
      </c>
      <c r="H5" s="47">
        <f t="shared" si="0"/>
        <v>7105</v>
      </c>
      <c r="I5" s="48">
        <f t="shared" si="0"/>
        <v>6116.9</v>
      </c>
      <c r="J5" s="46">
        <f t="shared" si="0"/>
        <v>10774.6</v>
      </c>
      <c r="K5" s="47">
        <f t="shared" si="0"/>
        <v>9938.7</v>
      </c>
      <c r="L5" s="47">
        <f t="shared" si="0"/>
        <v>11560.8</v>
      </c>
      <c r="M5" s="48">
        <f t="shared" si="0"/>
        <v>7533.6</v>
      </c>
      <c r="N5" s="46">
        <f t="shared" si="0"/>
        <v>3445.6</v>
      </c>
      <c r="O5" s="47">
        <f t="shared" si="0"/>
        <v>912</v>
      </c>
      <c r="P5" s="47">
        <f t="shared" si="0"/>
        <v>2667.5</v>
      </c>
      <c r="Q5" s="48">
        <f t="shared" si="0"/>
        <v>512.8</v>
      </c>
      <c r="R5" s="46">
        <f t="shared" si="0"/>
        <v>387.7</v>
      </c>
      <c r="S5" s="47">
        <f t="shared" si="0"/>
        <v>436.1</v>
      </c>
      <c r="T5" s="47">
        <f t="shared" si="0"/>
        <v>327.3</v>
      </c>
      <c r="U5" s="48">
        <f t="shared" si="0"/>
        <v>444.7</v>
      </c>
      <c r="V5" s="46">
        <f t="shared" si="0"/>
        <v>853.7</v>
      </c>
      <c r="W5" s="47">
        <f t="shared" si="0"/>
        <v>412.40000000000003</v>
      </c>
      <c r="X5" s="47">
        <f t="shared" si="0"/>
        <v>994</v>
      </c>
      <c r="Y5" s="48">
        <f t="shared" si="0"/>
        <v>507.6</v>
      </c>
      <c r="Z5" s="46">
        <f t="shared" si="0"/>
        <v>1034.7</v>
      </c>
      <c r="AA5" s="47">
        <f aca="true" t="shared" si="1" ref="AA5:AF5">SUM(AA6:AA8)</f>
        <v>2057.4</v>
      </c>
      <c r="AB5" s="47">
        <f t="shared" si="1"/>
        <v>1603.7</v>
      </c>
      <c r="AC5" s="48">
        <f t="shared" si="1"/>
        <v>1951.4</v>
      </c>
      <c r="AD5" s="46">
        <f t="shared" si="1"/>
        <v>2700.3</v>
      </c>
      <c r="AE5" s="47">
        <f t="shared" si="1"/>
        <v>2903.7</v>
      </c>
      <c r="AF5" s="47">
        <f t="shared" si="1"/>
        <v>1455.3999999999999</v>
      </c>
      <c r="AG5" s="48">
        <f aca="true" t="shared" si="2" ref="AG5:AL5">SUM(AG6:AG8)</f>
        <v>1856.8</v>
      </c>
      <c r="AH5" s="46">
        <f t="shared" si="2"/>
        <v>2645.7000000000003</v>
      </c>
      <c r="AI5" s="47">
        <f t="shared" si="2"/>
        <v>1755.6</v>
      </c>
      <c r="AJ5" s="47">
        <f t="shared" si="2"/>
        <v>2769.2000000000003</v>
      </c>
      <c r="AK5" s="48">
        <f t="shared" si="2"/>
        <v>1127.1</v>
      </c>
      <c r="AL5" s="46">
        <f t="shared" si="2"/>
        <v>2067.7</v>
      </c>
      <c r="AM5" s="47">
        <f>SUM(AM6:AM8)</f>
        <v>1847.3</v>
      </c>
      <c r="AN5" s="47">
        <f>SUM(AN6:AN8)</f>
        <v>1617.3</v>
      </c>
      <c r="AO5" s="48">
        <f>SUM(AO6:AO8)</f>
        <v>2826.7999999999997</v>
      </c>
      <c r="AP5" s="47">
        <f>SUM(AP6:AP8)</f>
        <v>1505.1999999999998</v>
      </c>
      <c r="AQ5" s="47">
        <f>SUM(AQ6:AQ8)</f>
        <v>2676.6</v>
      </c>
    </row>
    <row r="6" spans="1:43" s="7" customFormat="1" ht="12.75">
      <c r="A6" s="38" t="s">
        <v>113</v>
      </c>
      <c r="B6" s="39">
        <v>9032.9</v>
      </c>
      <c r="C6" s="40">
        <v>4323.5</v>
      </c>
      <c r="D6" s="40">
        <v>5318.4</v>
      </c>
      <c r="E6" s="40">
        <v>4373.2</v>
      </c>
      <c r="F6" s="39">
        <v>4973.9</v>
      </c>
      <c r="G6" s="40">
        <v>4814</v>
      </c>
      <c r="H6" s="40">
        <v>7100.1</v>
      </c>
      <c r="I6" s="41">
        <v>6115.9</v>
      </c>
      <c r="J6" s="39">
        <v>10762.5</v>
      </c>
      <c r="K6" s="40">
        <v>9937.6</v>
      </c>
      <c r="L6" s="40">
        <v>11558.9</v>
      </c>
      <c r="M6" s="41">
        <v>7531.5</v>
      </c>
      <c r="N6" s="39">
        <v>3424.4</v>
      </c>
      <c r="O6" s="40">
        <v>904.7</v>
      </c>
      <c r="P6" s="40">
        <v>2652.4</v>
      </c>
      <c r="Q6" s="41">
        <v>489.9</v>
      </c>
      <c r="R6" s="39">
        <v>362.5</v>
      </c>
      <c r="S6" s="40">
        <v>431.1</v>
      </c>
      <c r="T6" s="40">
        <v>319.5</v>
      </c>
      <c r="U6" s="41">
        <v>444.7</v>
      </c>
      <c r="V6" s="39">
        <v>853.7</v>
      </c>
      <c r="W6" s="40">
        <v>412.40000000000003</v>
      </c>
      <c r="X6" s="40">
        <v>994</v>
      </c>
      <c r="Y6" s="41">
        <v>507.6</v>
      </c>
      <c r="Z6" s="39">
        <v>1034.7</v>
      </c>
      <c r="AA6" s="40">
        <v>1405.7</v>
      </c>
      <c r="AB6" s="40">
        <v>1056.7</v>
      </c>
      <c r="AC6" s="41">
        <v>1276.3</v>
      </c>
      <c r="AD6" s="39">
        <v>1768.5</v>
      </c>
      <c r="AE6" s="40">
        <v>2565.5</v>
      </c>
      <c r="AF6" s="40">
        <v>1073.6</v>
      </c>
      <c r="AG6" s="41">
        <v>1409.8</v>
      </c>
      <c r="AH6" s="39">
        <v>2068.3</v>
      </c>
      <c r="AI6" s="40">
        <v>1740.5</v>
      </c>
      <c r="AJ6" s="40">
        <v>2411.8</v>
      </c>
      <c r="AK6" s="41">
        <v>964.3</v>
      </c>
      <c r="AL6" s="39">
        <v>2067.7</v>
      </c>
      <c r="AM6" s="40">
        <v>1847.3</v>
      </c>
      <c r="AN6" s="40">
        <v>1617.3</v>
      </c>
      <c r="AO6" s="41">
        <v>2805.2</v>
      </c>
      <c r="AP6" s="40">
        <v>1470.6</v>
      </c>
      <c r="AQ6" s="40">
        <v>2676.6</v>
      </c>
    </row>
    <row r="7" spans="1:43" s="7" customFormat="1" ht="12.75">
      <c r="A7" s="38" t="s">
        <v>279</v>
      </c>
      <c r="B7" s="39">
        <v>0</v>
      </c>
      <c r="C7" s="40">
        <v>0</v>
      </c>
      <c r="D7" s="40">
        <v>0</v>
      </c>
      <c r="E7" s="40">
        <v>0</v>
      </c>
      <c r="F7" s="39">
        <v>0</v>
      </c>
      <c r="G7" s="40">
        <v>0</v>
      </c>
      <c r="H7" s="40">
        <v>0</v>
      </c>
      <c r="I7" s="41">
        <v>0</v>
      </c>
      <c r="J7" s="39">
        <v>0</v>
      </c>
      <c r="K7" s="40">
        <v>0</v>
      </c>
      <c r="L7" s="40">
        <v>0</v>
      </c>
      <c r="M7" s="41">
        <v>0</v>
      </c>
      <c r="N7" s="39">
        <v>0</v>
      </c>
      <c r="O7" s="40">
        <v>0</v>
      </c>
      <c r="P7" s="40">
        <v>0</v>
      </c>
      <c r="Q7" s="41">
        <v>0</v>
      </c>
      <c r="R7" s="39">
        <v>0</v>
      </c>
      <c r="S7" s="40">
        <v>0</v>
      </c>
      <c r="T7" s="40">
        <v>0</v>
      </c>
      <c r="U7" s="41">
        <v>0</v>
      </c>
      <c r="V7" s="39">
        <v>0</v>
      </c>
      <c r="W7" s="40">
        <v>0</v>
      </c>
      <c r="X7" s="40">
        <v>0</v>
      </c>
      <c r="Y7" s="41">
        <v>0</v>
      </c>
      <c r="Z7" s="39">
        <v>0</v>
      </c>
      <c r="AA7" s="40">
        <v>651.7</v>
      </c>
      <c r="AB7" s="40">
        <v>547</v>
      </c>
      <c r="AC7" s="41">
        <v>675.1</v>
      </c>
      <c r="AD7" s="39">
        <v>931.8</v>
      </c>
      <c r="AE7" s="40">
        <v>338.2</v>
      </c>
      <c r="AF7" s="40">
        <v>381.8</v>
      </c>
      <c r="AG7" s="41">
        <v>447</v>
      </c>
      <c r="AH7" s="39">
        <v>577.4</v>
      </c>
      <c r="AI7" s="40">
        <v>15.1</v>
      </c>
      <c r="AJ7" s="40">
        <v>357.4</v>
      </c>
      <c r="AK7" s="41">
        <v>162.79999999999998</v>
      </c>
      <c r="AL7" s="39">
        <v>0</v>
      </c>
      <c r="AM7" s="40">
        <v>0</v>
      </c>
      <c r="AN7" s="40">
        <v>0</v>
      </c>
      <c r="AO7" s="41">
        <v>21.6</v>
      </c>
      <c r="AP7" s="40">
        <v>34.6</v>
      </c>
      <c r="AQ7" s="40">
        <v>0</v>
      </c>
    </row>
    <row r="8" spans="1:43" s="7" customFormat="1" ht="12.75">
      <c r="A8" s="38" t="s">
        <v>114</v>
      </c>
      <c r="B8" s="39">
        <v>11.2</v>
      </c>
      <c r="C8" s="40">
        <v>2.1</v>
      </c>
      <c r="D8" s="40">
        <v>0.7</v>
      </c>
      <c r="E8" s="40">
        <v>38.5</v>
      </c>
      <c r="F8" s="39">
        <v>23.1</v>
      </c>
      <c r="G8" s="40">
        <v>2.1</v>
      </c>
      <c r="H8" s="40">
        <v>4.9</v>
      </c>
      <c r="I8" s="41">
        <v>1</v>
      </c>
      <c r="J8" s="39">
        <v>12.1</v>
      </c>
      <c r="K8" s="40">
        <v>1.1</v>
      </c>
      <c r="L8" s="40">
        <v>1.9</v>
      </c>
      <c r="M8" s="41">
        <v>2.1</v>
      </c>
      <c r="N8" s="39">
        <v>21.2</v>
      </c>
      <c r="O8" s="40">
        <v>7.3</v>
      </c>
      <c r="P8" s="40">
        <v>15.1</v>
      </c>
      <c r="Q8" s="41">
        <v>22.9</v>
      </c>
      <c r="R8" s="39">
        <v>25.2</v>
      </c>
      <c r="S8" s="40">
        <v>5</v>
      </c>
      <c r="T8" s="40">
        <v>7.8</v>
      </c>
      <c r="U8" s="41">
        <v>0</v>
      </c>
      <c r="V8" s="39">
        <v>0</v>
      </c>
      <c r="W8" s="40">
        <v>0</v>
      </c>
      <c r="X8" s="40">
        <v>0</v>
      </c>
      <c r="Y8" s="41">
        <v>0</v>
      </c>
      <c r="Z8" s="39">
        <v>0</v>
      </c>
      <c r="AA8" s="40">
        <v>0</v>
      </c>
      <c r="AB8" s="40">
        <v>0</v>
      </c>
      <c r="AC8" s="41">
        <v>0</v>
      </c>
      <c r="AD8" s="39">
        <v>0</v>
      </c>
      <c r="AE8" s="40">
        <v>0</v>
      </c>
      <c r="AF8" s="40">
        <v>0</v>
      </c>
      <c r="AG8" s="41">
        <v>0</v>
      </c>
      <c r="AH8" s="39">
        <v>0</v>
      </c>
      <c r="AI8" s="40">
        <v>0</v>
      </c>
      <c r="AJ8" s="40">
        <v>0</v>
      </c>
      <c r="AK8" s="41">
        <v>0</v>
      </c>
      <c r="AL8" s="39">
        <v>0</v>
      </c>
      <c r="AM8" s="40">
        <v>0</v>
      </c>
      <c r="AN8" s="40">
        <v>0</v>
      </c>
      <c r="AO8" s="41">
        <v>0</v>
      </c>
      <c r="AP8" s="40">
        <v>0</v>
      </c>
      <c r="AQ8" s="40">
        <v>0</v>
      </c>
    </row>
    <row r="9" spans="1:43" s="4" customFormat="1" ht="22.5">
      <c r="A9" s="88" t="s">
        <v>263</v>
      </c>
      <c r="B9" s="46">
        <f>B10+B11+B12</f>
        <v>1177</v>
      </c>
      <c r="C9" s="47">
        <f aca="true" t="shared" si="3" ref="C9:W9">C10+C11+C12</f>
        <v>1822.6999999999998</v>
      </c>
      <c r="D9" s="47">
        <f t="shared" si="3"/>
        <v>1780.6</v>
      </c>
      <c r="E9" s="47">
        <f t="shared" si="3"/>
        <v>1844.8000000000002</v>
      </c>
      <c r="F9" s="46">
        <f t="shared" si="3"/>
        <v>4180.2</v>
      </c>
      <c r="G9" s="47">
        <f t="shared" si="3"/>
        <v>4158.1</v>
      </c>
      <c r="H9" s="47">
        <f t="shared" si="3"/>
        <v>4091.3</v>
      </c>
      <c r="I9" s="48">
        <f t="shared" si="3"/>
        <v>4431.9</v>
      </c>
      <c r="J9" s="46">
        <f t="shared" si="3"/>
        <v>1202.8</v>
      </c>
      <c r="K9" s="47">
        <f t="shared" si="3"/>
        <v>883.4</v>
      </c>
      <c r="L9" s="47">
        <f t="shared" si="3"/>
        <v>616.9000000000001</v>
      </c>
      <c r="M9" s="48">
        <f t="shared" si="3"/>
        <v>734.1</v>
      </c>
      <c r="N9" s="46">
        <f t="shared" si="3"/>
        <v>312.8</v>
      </c>
      <c r="O9" s="47">
        <f t="shared" si="3"/>
        <v>539.5</v>
      </c>
      <c r="P9" s="47">
        <f t="shared" si="3"/>
        <v>1278.2</v>
      </c>
      <c r="Q9" s="48">
        <f t="shared" si="3"/>
        <v>146.8</v>
      </c>
      <c r="R9" s="46">
        <f t="shared" si="3"/>
        <v>189.2</v>
      </c>
      <c r="S9" s="47">
        <f t="shared" si="3"/>
        <v>136.4</v>
      </c>
      <c r="T9" s="47">
        <f t="shared" si="3"/>
        <v>793.2</v>
      </c>
      <c r="U9" s="48">
        <f t="shared" si="3"/>
        <v>194.9</v>
      </c>
      <c r="V9" s="46">
        <f t="shared" si="3"/>
        <v>572</v>
      </c>
      <c r="W9" s="47">
        <f t="shared" si="3"/>
        <v>379.1</v>
      </c>
      <c r="X9" s="47">
        <f aca="true" t="shared" si="4" ref="X9:AC9">X10+X11+X12</f>
        <v>528.6</v>
      </c>
      <c r="Y9" s="48">
        <f t="shared" si="4"/>
        <v>1047</v>
      </c>
      <c r="Z9" s="46">
        <f t="shared" si="4"/>
        <v>377.4</v>
      </c>
      <c r="AA9" s="47">
        <f t="shared" si="4"/>
        <v>0</v>
      </c>
      <c r="AB9" s="47">
        <f t="shared" si="4"/>
        <v>0</v>
      </c>
      <c r="AC9" s="48">
        <f t="shared" si="4"/>
        <v>0</v>
      </c>
      <c r="AD9" s="46">
        <f aca="true" t="shared" si="5" ref="AD9:AI9">AD10+AD11+AD12</f>
        <v>0</v>
      </c>
      <c r="AE9" s="47">
        <f t="shared" si="5"/>
        <v>0</v>
      </c>
      <c r="AF9" s="47">
        <f t="shared" si="5"/>
        <v>0</v>
      </c>
      <c r="AG9" s="48">
        <f t="shared" si="5"/>
        <v>0</v>
      </c>
      <c r="AH9" s="46">
        <f t="shared" si="5"/>
        <v>0</v>
      </c>
      <c r="AI9" s="47">
        <f t="shared" si="5"/>
        <v>0</v>
      </c>
      <c r="AJ9" s="47">
        <f aca="true" t="shared" si="6" ref="AJ9:AQ9">AJ10+AJ11+AJ12</f>
        <v>0</v>
      </c>
      <c r="AK9" s="48">
        <f t="shared" si="6"/>
        <v>0</v>
      </c>
      <c r="AL9" s="46">
        <f t="shared" si="6"/>
        <v>0</v>
      </c>
      <c r="AM9" s="47">
        <f t="shared" si="6"/>
        <v>0</v>
      </c>
      <c r="AN9" s="47">
        <f t="shared" si="6"/>
        <v>0</v>
      </c>
      <c r="AO9" s="48">
        <f t="shared" si="6"/>
        <v>0</v>
      </c>
      <c r="AP9" s="47">
        <f t="shared" si="6"/>
        <v>0</v>
      </c>
      <c r="AQ9" s="47">
        <f t="shared" si="6"/>
        <v>0</v>
      </c>
    </row>
    <row r="10" spans="1:43" s="9" customFormat="1" ht="12.75">
      <c r="A10" s="87" t="s">
        <v>113</v>
      </c>
      <c r="B10" s="39">
        <v>690.3</v>
      </c>
      <c r="C10" s="40">
        <v>1035.8</v>
      </c>
      <c r="D10" s="40">
        <v>1514.7</v>
      </c>
      <c r="E10" s="40">
        <v>1513.2</v>
      </c>
      <c r="F10" s="39">
        <v>1587.6</v>
      </c>
      <c r="G10" s="40">
        <v>1432.4</v>
      </c>
      <c r="H10" s="40">
        <v>1576.6</v>
      </c>
      <c r="I10" s="41">
        <v>1822.7</v>
      </c>
      <c r="J10" s="39">
        <v>205.2</v>
      </c>
      <c r="K10" s="40">
        <v>203.6</v>
      </c>
      <c r="L10" s="40">
        <v>199.8</v>
      </c>
      <c r="M10" s="41">
        <v>186.5</v>
      </c>
      <c r="N10" s="39">
        <v>185.5</v>
      </c>
      <c r="O10" s="40">
        <v>191.8</v>
      </c>
      <c r="P10" s="40">
        <v>188.3</v>
      </c>
      <c r="Q10" s="41">
        <v>61.2</v>
      </c>
      <c r="R10" s="39">
        <v>62.6</v>
      </c>
      <c r="S10" s="40">
        <v>62.5</v>
      </c>
      <c r="T10" s="40">
        <v>0</v>
      </c>
      <c r="U10" s="41">
        <v>0</v>
      </c>
      <c r="V10" s="39">
        <v>414.5</v>
      </c>
      <c r="W10" s="40">
        <v>0</v>
      </c>
      <c r="X10" s="40">
        <v>0</v>
      </c>
      <c r="Y10" s="41">
        <v>0</v>
      </c>
      <c r="Z10" s="39">
        <v>0</v>
      </c>
      <c r="AA10" s="40">
        <v>0</v>
      </c>
      <c r="AB10" s="40">
        <v>0</v>
      </c>
      <c r="AC10" s="41">
        <v>0</v>
      </c>
      <c r="AD10" s="39">
        <v>0</v>
      </c>
      <c r="AE10" s="40">
        <v>0</v>
      </c>
      <c r="AF10" s="40">
        <v>0</v>
      </c>
      <c r="AG10" s="41">
        <v>0</v>
      </c>
      <c r="AH10" s="39">
        <v>0</v>
      </c>
      <c r="AI10" s="40">
        <v>0</v>
      </c>
      <c r="AJ10" s="40">
        <v>0</v>
      </c>
      <c r="AK10" s="41">
        <v>0</v>
      </c>
      <c r="AL10" s="39">
        <v>0</v>
      </c>
      <c r="AM10" s="40">
        <v>0</v>
      </c>
      <c r="AN10" s="40">
        <v>0</v>
      </c>
      <c r="AO10" s="41">
        <v>0</v>
      </c>
      <c r="AP10" s="40">
        <v>0</v>
      </c>
      <c r="AQ10" s="40">
        <v>0</v>
      </c>
    </row>
    <row r="11" spans="1:43" s="9" customFormat="1" ht="12.75">
      <c r="A11" s="89" t="s">
        <v>115</v>
      </c>
      <c r="B11" s="39">
        <v>486.7</v>
      </c>
      <c r="C11" s="40">
        <v>786.9</v>
      </c>
      <c r="D11" s="40">
        <v>265.9</v>
      </c>
      <c r="E11" s="40">
        <v>331.6</v>
      </c>
      <c r="F11" s="39">
        <v>358.3</v>
      </c>
      <c r="G11" s="40">
        <v>255</v>
      </c>
      <c r="H11" s="40">
        <v>369.7</v>
      </c>
      <c r="I11" s="41">
        <v>362.5</v>
      </c>
      <c r="J11" s="39">
        <v>997.6</v>
      </c>
      <c r="K11" s="40">
        <v>679.8</v>
      </c>
      <c r="L11" s="40">
        <v>417.1</v>
      </c>
      <c r="M11" s="41">
        <v>547.6</v>
      </c>
      <c r="N11" s="39">
        <v>127.3</v>
      </c>
      <c r="O11" s="40">
        <v>347.7</v>
      </c>
      <c r="P11" s="40">
        <v>1089.9</v>
      </c>
      <c r="Q11" s="41">
        <v>85.6</v>
      </c>
      <c r="R11" s="39">
        <v>126.6</v>
      </c>
      <c r="S11" s="40">
        <v>73.9</v>
      </c>
      <c r="T11" s="40">
        <v>793.2</v>
      </c>
      <c r="U11" s="41">
        <v>194.9</v>
      </c>
      <c r="V11" s="39">
        <v>157.5</v>
      </c>
      <c r="W11" s="40">
        <v>379.1</v>
      </c>
      <c r="X11" s="40">
        <v>528.6</v>
      </c>
      <c r="Y11" s="41">
        <v>1047</v>
      </c>
      <c r="Z11" s="39">
        <v>377.4</v>
      </c>
      <c r="AA11" s="40">
        <v>0</v>
      </c>
      <c r="AB11" s="40">
        <v>0</v>
      </c>
      <c r="AC11" s="41">
        <v>0</v>
      </c>
      <c r="AD11" s="39">
        <v>0</v>
      </c>
      <c r="AE11" s="40">
        <v>0</v>
      </c>
      <c r="AF11" s="40">
        <v>0</v>
      </c>
      <c r="AG11" s="41">
        <v>0</v>
      </c>
      <c r="AH11" s="39">
        <v>0</v>
      </c>
      <c r="AI11" s="40">
        <v>0</v>
      </c>
      <c r="AJ11" s="40">
        <v>0</v>
      </c>
      <c r="AK11" s="41">
        <v>0</v>
      </c>
      <c r="AL11" s="39">
        <v>0</v>
      </c>
      <c r="AM11" s="40">
        <v>0</v>
      </c>
      <c r="AN11" s="40">
        <v>0</v>
      </c>
      <c r="AO11" s="41">
        <v>0</v>
      </c>
      <c r="AP11" s="40">
        <v>0</v>
      </c>
      <c r="AQ11" s="40">
        <v>0</v>
      </c>
    </row>
    <row r="12" spans="1:43" s="9" customFormat="1" ht="12.75">
      <c r="A12" s="89" t="s">
        <v>245</v>
      </c>
      <c r="B12" s="39">
        <v>0</v>
      </c>
      <c r="C12" s="40">
        <v>0</v>
      </c>
      <c r="D12" s="40">
        <v>0</v>
      </c>
      <c r="E12" s="40">
        <v>0</v>
      </c>
      <c r="F12" s="39">
        <v>2234.3</v>
      </c>
      <c r="G12" s="40">
        <v>2470.7</v>
      </c>
      <c r="H12" s="40">
        <v>2145</v>
      </c>
      <c r="I12" s="41">
        <v>2246.7</v>
      </c>
      <c r="J12" s="39">
        <v>0</v>
      </c>
      <c r="K12" s="40">
        <v>0</v>
      </c>
      <c r="L12" s="40">
        <v>0</v>
      </c>
      <c r="M12" s="41">
        <v>0</v>
      </c>
      <c r="N12" s="39">
        <v>0</v>
      </c>
      <c r="O12" s="40">
        <v>0</v>
      </c>
      <c r="P12" s="40">
        <v>0</v>
      </c>
      <c r="Q12" s="41">
        <v>0</v>
      </c>
      <c r="R12" s="39">
        <v>0</v>
      </c>
      <c r="S12" s="40">
        <v>0</v>
      </c>
      <c r="T12" s="40">
        <v>0</v>
      </c>
      <c r="U12" s="41">
        <v>0</v>
      </c>
      <c r="V12" s="39">
        <v>0</v>
      </c>
      <c r="W12" s="40">
        <v>0</v>
      </c>
      <c r="X12" s="40">
        <v>0</v>
      </c>
      <c r="Y12" s="41">
        <v>0</v>
      </c>
      <c r="Z12" s="39">
        <v>0</v>
      </c>
      <c r="AA12" s="40">
        <v>0</v>
      </c>
      <c r="AB12" s="40">
        <v>0</v>
      </c>
      <c r="AC12" s="41">
        <v>0</v>
      </c>
      <c r="AD12" s="39">
        <v>0</v>
      </c>
      <c r="AE12" s="40">
        <v>0</v>
      </c>
      <c r="AF12" s="40">
        <v>0</v>
      </c>
      <c r="AG12" s="41">
        <v>0</v>
      </c>
      <c r="AH12" s="39">
        <v>0</v>
      </c>
      <c r="AI12" s="40">
        <v>0</v>
      </c>
      <c r="AJ12" s="40">
        <v>0</v>
      </c>
      <c r="AK12" s="41">
        <v>0</v>
      </c>
      <c r="AL12" s="39">
        <v>0</v>
      </c>
      <c r="AM12" s="40">
        <v>0</v>
      </c>
      <c r="AN12" s="40">
        <v>0</v>
      </c>
      <c r="AO12" s="41">
        <v>0</v>
      </c>
      <c r="AP12" s="40">
        <v>0</v>
      </c>
      <c r="AQ12" s="40">
        <v>0</v>
      </c>
    </row>
    <row r="13" spans="1:43" s="108" customFormat="1" ht="22.5">
      <c r="A13" s="98" t="s">
        <v>116</v>
      </c>
      <c r="B13" s="93">
        <f>B5+B9</f>
        <v>10221.1</v>
      </c>
      <c r="C13" s="94">
        <f aca="true" t="shared" si="7" ref="C13:W13">C5+C9</f>
        <v>6148.3</v>
      </c>
      <c r="D13" s="94">
        <f t="shared" si="7"/>
        <v>7099.699999999999</v>
      </c>
      <c r="E13" s="94">
        <f t="shared" si="7"/>
        <v>6256.5</v>
      </c>
      <c r="F13" s="93">
        <f t="shared" si="7"/>
        <v>9177.2</v>
      </c>
      <c r="G13" s="94">
        <f t="shared" si="7"/>
        <v>8974.2</v>
      </c>
      <c r="H13" s="94">
        <f t="shared" si="7"/>
        <v>11196.3</v>
      </c>
      <c r="I13" s="95">
        <f t="shared" si="7"/>
        <v>10548.8</v>
      </c>
      <c r="J13" s="93">
        <f t="shared" si="7"/>
        <v>11977.4</v>
      </c>
      <c r="K13" s="94">
        <f t="shared" si="7"/>
        <v>10822.1</v>
      </c>
      <c r="L13" s="94">
        <f t="shared" si="7"/>
        <v>12177.699999999999</v>
      </c>
      <c r="M13" s="95">
        <f t="shared" si="7"/>
        <v>8267.7</v>
      </c>
      <c r="N13" s="93">
        <f t="shared" si="7"/>
        <v>3758.4</v>
      </c>
      <c r="O13" s="94">
        <f t="shared" si="7"/>
        <v>1451.5</v>
      </c>
      <c r="P13" s="94">
        <f t="shared" si="7"/>
        <v>3945.7</v>
      </c>
      <c r="Q13" s="95">
        <f t="shared" si="7"/>
        <v>659.5999999999999</v>
      </c>
      <c r="R13" s="93">
        <f t="shared" si="7"/>
        <v>576.9</v>
      </c>
      <c r="S13" s="94">
        <f t="shared" si="7"/>
        <v>572.5</v>
      </c>
      <c r="T13" s="94">
        <f t="shared" si="7"/>
        <v>1120.5</v>
      </c>
      <c r="U13" s="95">
        <f t="shared" si="7"/>
        <v>639.6</v>
      </c>
      <c r="V13" s="93">
        <f t="shared" si="7"/>
        <v>1425.7</v>
      </c>
      <c r="W13" s="94">
        <f t="shared" si="7"/>
        <v>791.5</v>
      </c>
      <c r="X13" s="94">
        <f aca="true" t="shared" si="8" ref="X13:AC13">X5+X9</f>
        <v>1522.6</v>
      </c>
      <c r="Y13" s="95">
        <f t="shared" si="8"/>
        <v>1554.6</v>
      </c>
      <c r="Z13" s="93">
        <f t="shared" si="8"/>
        <v>1412.1</v>
      </c>
      <c r="AA13" s="94">
        <f t="shared" si="8"/>
        <v>2057.4</v>
      </c>
      <c r="AB13" s="94">
        <f>AB5+AB9</f>
        <v>1603.7</v>
      </c>
      <c r="AC13" s="95">
        <f t="shared" si="8"/>
        <v>1951.4</v>
      </c>
      <c r="AD13" s="93">
        <f aca="true" t="shared" si="9" ref="AD13:AI13">AD5+AD9</f>
        <v>2700.3</v>
      </c>
      <c r="AE13" s="94">
        <f t="shared" si="9"/>
        <v>2903.7</v>
      </c>
      <c r="AF13" s="94">
        <f t="shared" si="9"/>
        <v>1455.3999999999999</v>
      </c>
      <c r="AG13" s="95">
        <f t="shared" si="9"/>
        <v>1856.8</v>
      </c>
      <c r="AH13" s="93">
        <f t="shared" si="9"/>
        <v>2645.7000000000003</v>
      </c>
      <c r="AI13" s="94">
        <f t="shared" si="9"/>
        <v>1755.6</v>
      </c>
      <c r="AJ13" s="94">
        <f aca="true" t="shared" si="10" ref="AJ13:AQ13">AJ5+AJ9</f>
        <v>2769.2000000000003</v>
      </c>
      <c r="AK13" s="95">
        <f t="shared" si="10"/>
        <v>1127.1</v>
      </c>
      <c r="AL13" s="93">
        <f t="shared" si="10"/>
        <v>2067.7</v>
      </c>
      <c r="AM13" s="94">
        <f t="shared" si="10"/>
        <v>1847.3</v>
      </c>
      <c r="AN13" s="94">
        <f t="shared" si="10"/>
        <v>1617.3</v>
      </c>
      <c r="AO13" s="95">
        <f t="shared" si="10"/>
        <v>2826.7999999999997</v>
      </c>
      <c r="AP13" s="94">
        <f t="shared" si="10"/>
        <v>1505.1999999999998</v>
      </c>
      <c r="AQ13" s="94">
        <f t="shared" si="10"/>
        <v>2676.6</v>
      </c>
    </row>
    <row r="14" spans="1:43" s="7" customFormat="1" ht="12.75">
      <c r="A14" s="88"/>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39"/>
      <c r="AI14" s="40"/>
      <c r="AJ14" s="40"/>
      <c r="AK14" s="41"/>
      <c r="AL14" s="39"/>
      <c r="AM14" s="40"/>
      <c r="AN14" s="40"/>
      <c r="AO14" s="41"/>
      <c r="AP14" s="40"/>
      <c r="AQ14" s="40"/>
    </row>
    <row r="15" spans="1:43" s="9" customFormat="1" ht="12.75">
      <c r="A15" s="88" t="s">
        <v>117</v>
      </c>
      <c r="B15" s="46">
        <f>B16+B18</f>
        <v>12001.7</v>
      </c>
      <c r="C15" s="47">
        <f aca="true" t="shared" si="11" ref="C15:W15">C16+C18</f>
        <v>9593.8</v>
      </c>
      <c r="D15" s="47">
        <f t="shared" si="11"/>
        <v>8529.2</v>
      </c>
      <c r="E15" s="47">
        <f t="shared" si="11"/>
        <v>8547.5</v>
      </c>
      <c r="F15" s="46">
        <f t="shared" si="11"/>
        <v>10159.7</v>
      </c>
      <c r="G15" s="47">
        <f t="shared" si="11"/>
        <v>10816.199999999999</v>
      </c>
      <c r="H15" s="47">
        <f t="shared" si="11"/>
        <v>12385.2</v>
      </c>
      <c r="I15" s="48">
        <f t="shared" si="11"/>
        <v>10739.1</v>
      </c>
      <c r="J15" s="46">
        <f t="shared" si="11"/>
        <v>8517.5</v>
      </c>
      <c r="K15" s="47">
        <f t="shared" si="11"/>
        <v>8329.5</v>
      </c>
      <c r="L15" s="47">
        <f t="shared" si="11"/>
        <v>6990.8</v>
      </c>
      <c r="M15" s="48">
        <f t="shared" si="11"/>
        <v>6835.9</v>
      </c>
      <c r="N15" s="46">
        <f t="shared" si="11"/>
        <v>14852.8</v>
      </c>
      <c r="O15" s="47">
        <f t="shared" si="11"/>
        <v>14323.7</v>
      </c>
      <c r="P15" s="47">
        <f t="shared" si="11"/>
        <v>12239.900000000001</v>
      </c>
      <c r="Q15" s="48">
        <f t="shared" si="11"/>
        <v>16788.8</v>
      </c>
      <c r="R15" s="46">
        <f t="shared" si="11"/>
        <v>17266.8</v>
      </c>
      <c r="S15" s="47">
        <f t="shared" si="11"/>
        <v>18998.1</v>
      </c>
      <c r="T15" s="47">
        <f t="shared" si="11"/>
        <v>17379.6</v>
      </c>
      <c r="U15" s="48">
        <f t="shared" si="11"/>
        <v>15468.400000000001</v>
      </c>
      <c r="V15" s="46">
        <f t="shared" si="11"/>
        <v>11765.1</v>
      </c>
      <c r="W15" s="47">
        <f t="shared" si="11"/>
        <v>10298.999999999998</v>
      </c>
      <c r="X15" s="47">
        <f aca="true" t="shared" si="12" ref="X15:AC15">X16+X18</f>
        <v>13536.099999999999</v>
      </c>
      <c r="Y15" s="48">
        <f t="shared" si="12"/>
        <v>17881.100000000002</v>
      </c>
      <c r="Z15" s="46">
        <f t="shared" si="12"/>
        <v>18003.9</v>
      </c>
      <c r="AA15" s="47">
        <f t="shared" si="12"/>
        <v>20256.699999999997</v>
      </c>
      <c r="AB15" s="47">
        <f t="shared" si="12"/>
        <v>19794</v>
      </c>
      <c r="AC15" s="48">
        <f t="shared" si="12"/>
        <v>19493.6</v>
      </c>
      <c r="AD15" s="46">
        <f aca="true" t="shared" si="13" ref="AD15:AI15">AD16+AD18</f>
        <v>20994.899999999998</v>
      </c>
      <c r="AE15" s="47">
        <f t="shared" si="13"/>
        <v>22090.4</v>
      </c>
      <c r="AF15" s="47">
        <f t="shared" si="13"/>
        <v>23190.600000000002</v>
      </c>
      <c r="AG15" s="48">
        <f t="shared" si="13"/>
        <v>22829.3</v>
      </c>
      <c r="AH15" s="46">
        <f t="shared" si="13"/>
        <v>22151.9</v>
      </c>
      <c r="AI15" s="47">
        <f t="shared" si="13"/>
        <v>22540.7</v>
      </c>
      <c r="AJ15" s="47">
        <f aca="true" t="shared" si="14" ref="AJ15:AQ15">AJ16+AJ18</f>
        <v>21977.1</v>
      </c>
      <c r="AK15" s="48">
        <f t="shared" si="14"/>
        <v>20678.100000000002</v>
      </c>
      <c r="AL15" s="46">
        <f t="shared" si="14"/>
        <v>21952.1</v>
      </c>
      <c r="AM15" s="47">
        <f t="shared" si="14"/>
        <v>23401.8</v>
      </c>
      <c r="AN15" s="47">
        <f t="shared" si="14"/>
        <v>22794.1</v>
      </c>
      <c r="AO15" s="48">
        <f t="shared" si="14"/>
        <v>20557.2</v>
      </c>
      <c r="AP15" s="47">
        <f t="shared" si="14"/>
        <v>20325</v>
      </c>
      <c r="AQ15" s="47">
        <f t="shared" si="14"/>
        <v>17337.4</v>
      </c>
    </row>
    <row r="16" spans="1:43" s="9" customFormat="1" ht="12.75">
      <c r="A16" s="87" t="s">
        <v>118</v>
      </c>
      <c r="B16" s="39">
        <v>11986.7</v>
      </c>
      <c r="C16" s="40">
        <v>9572.4</v>
      </c>
      <c r="D16" s="40">
        <v>8510.6</v>
      </c>
      <c r="E16" s="40">
        <v>8524.2</v>
      </c>
      <c r="F16" s="39">
        <v>10137.1</v>
      </c>
      <c r="G16" s="40">
        <v>10811.8</v>
      </c>
      <c r="H16" s="40">
        <v>12374.6</v>
      </c>
      <c r="I16" s="41">
        <v>10730.5</v>
      </c>
      <c r="J16" s="39">
        <v>8507.7</v>
      </c>
      <c r="K16" s="40">
        <v>8323</v>
      </c>
      <c r="L16" s="40">
        <v>6939.8</v>
      </c>
      <c r="M16" s="41">
        <v>6783</v>
      </c>
      <c r="N16" s="39">
        <v>14800.8</v>
      </c>
      <c r="O16" s="40">
        <v>14273.5</v>
      </c>
      <c r="P16" s="40">
        <v>12185.7</v>
      </c>
      <c r="Q16" s="41">
        <v>16740.5</v>
      </c>
      <c r="R16" s="39">
        <v>17218.7</v>
      </c>
      <c r="S16" s="40">
        <v>18950.3</v>
      </c>
      <c r="T16" s="40">
        <v>17350.3</v>
      </c>
      <c r="U16" s="41">
        <v>15437.7</v>
      </c>
      <c r="V16" s="39">
        <v>11736.1</v>
      </c>
      <c r="W16" s="40">
        <v>10278.199999999999</v>
      </c>
      <c r="X16" s="40">
        <v>13516.3</v>
      </c>
      <c r="Y16" s="41">
        <v>17863.800000000003</v>
      </c>
      <c r="Z16" s="39">
        <v>17983.100000000002</v>
      </c>
      <c r="AA16" s="40">
        <v>20230.6</v>
      </c>
      <c r="AB16" s="40">
        <v>19766.9</v>
      </c>
      <c r="AC16" s="41">
        <v>19466.3</v>
      </c>
      <c r="AD16" s="39">
        <v>20970.899999999998</v>
      </c>
      <c r="AE16" s="40">
        <v>22064.100000000002</v>
      </c>
      <c r="AF16" s="40">
        <v>23166.300000000003</v>
      </c>
      <c r="AG16" s="41">
        <v>22815.3</v>
      </c>
      <c r="AH16" s="39">
        <v>22138.4</v>
      </c>
      <c r="AI16" s="40">
        <v>22527</v>
      </c>
      <c r="AJ16" s="40">
        <v>21971.8</v>
      </c>
      <c r="AK16" s="41">
        <v>20494.9</v>
      </c>
      <c r="AL16" s="39">
        <v>21768.6</v>
      </c>
      <c r="AM16" s="40">
        <v>23360.3</v>
      </c>
      <c r="AN16" s="40">
        <v>22749.5</v>
      </c>
      <c r="AO16" s="41">
        <v>20508.4</v>
      </c>
      <c r="AP16" s="40">
        <v>20273</v>
      </c>
      <c r="AQ16" s="40">
        <v>17332</v>
      </c>
    </row>
    <row r="17" spans="1:43" s="66" customFormat="1" ht="12.75">
      <c r="A17" s="140" t="s">
        <v>119</v>
      </c>
      <c r="B17" s="57">
        <v>0</v>
      </c>
      <c r="C17" s="58">
        <v>48.5</v>
      </c>
      <c r="D17" s="58">
        <v>151</v>
      </c>
      <c r="E17" s="58">
        <v>435.5</v>
      </c>
      <c r="F17" s="57">
        <v>2084.4</v>
      </c>
      <c r="G17" s="58">
        <v>3112.5</v>
      </c>
      <c r="H17" s="58">
        <v>4246.6</v>
      </c>
      <c r="I17" s="59">
        <v>3235.8</v>
      </c>
      <c r="J17" s="57">
        <v>3211.7</v>
      </c>
      <c r="K17" s="58">
        <v>3114.8</v>
      </c>
      <c r="L17" s="58">
        <v>3157.9</v>
      </c>
      <c r="M17" s="59">
        <v>3137.7</v>
      </c>
      <c r="N17" s="57">
        <v>3096.9</v>
      </c>
      <c r="O17" s="58">
        <v>3032</v>
      </c>
      <c r="P17" s="58">
        <v>3076.3</v>
      </c>
      <c r="Q17" s="59">
        <v>3221.4</v>
      </c>
      <c r="R17" s="57">
        <v>2118.7</v>
      </c>
      <c r="S17" s="58">
        <v>2097.7</v>
      </c>
      <c r="T17" s="58">
        <v>1459.4</v>
      </c>
      <c r="U17" s="59">
        <v>1020.3</v>
      </c>
      <c r="V17" s="57">
        <v>1031.8</v>
      </c>
      <c r="W17" s="58">
        <v>1007.1</v>
      </c>
      <c r="X17" s="58">
        <v>1027.4</v>
      </c>
      <c r="Y17" s="59">
        <v>1042.3</v>
      </c>
      <c r="Z17" s="57">
        <v>790.7</v>
      </c>
      <c r="AA17" s="58">
        <v>2552.3</v>
      </c>
      <c r="AB17" s="58">
        <v>1543.2</v>
      </c>
      <c r="AC17" s="59">
        <v>1971.6</v>
      </c>
      <c r="AD17" s="57">
        <v>2885.7999999999997</v>
      </c>
      <c r="AE17" s="58">
        <v>2931.3</v>
      </c>
      <c r="AF17" s="58">
        <v>3488.1000000000004</v>
      </c>
      <c r="AG17" s="59">
        <v>4095.9</v>
      </c>
      <c r="AH17" s="57">
        <v>3226.1</v>
      </c>
      <c r="AI17" s="58">
        <v>3034.4</v>
      </c>
      <c r="AJ17" s="58">
        <v>3496</v>
      </c>
      <c r="AK17" s="59">
        <v>3515.5</v>
      </c>
      <c r="AL17" s="57">
        <v>9659.3</v>
      </c>
      <c r="AM17" s="58">
        <v>12987.1</v>
      </c>
      <c r="AN17" s="58">
        <v>14058.8</v>
      </c>
      <c r="AO17" s="59">
        <v>12191.3</v>
      </c>
      <c r="AP17" s="58">
        <v>12973.2</v>
      </c>
      <c r="AQ17" s="58">
        <v>11559.8</v>
      </c>
    </row>
    <row r="18" spans="1:43" s="9" customFormat="1" ht="12.75">
      <c r="A18" s="89" t="s">
        <v>114</v>
      </c>
      <c r="B18" s="39">
        <v>15</v>
      </c>
      <c r="C18" s="40">
        <v>21.4</v>
      </c>
      <c r="D18" s="40">
        <v>18.6</v>
      </c>
      <c r="E18" s="40">
        <v>23.3</v>
      </c>
      <c r="F18" s="39">
        <v>22.6</v>
      </c>
      <c r="G18" s="40">
        <v>4.4</v>
      </c>
      <c r="H18" s="40">
        <v>10.6</v>
      </c>
      <c r="I18" s="41">
        <v>8.6</v>
      </c>
      <c r="J18" s="39">
        <v>9.8</v>
      </c>
      <c r="K18" s="40">
        <v>6.5</v>
      </c>
      <c r="L18" s="40">
        <v>51</v>
      </c>
      <c r="M18" s="41">
        <v>52.9</v>
      </c>
      <c r="N18" s="39">
        <v>52</v>
      </c>
      <c r="O18" s="40">
        <v>50.2</v>
      </c>
      <c r="P18" s="40">
        <v>54.2</v>
      </c>
      <c r="Q18" s="41">
        <v>48.3</v>
      </c>
      <c r="R18" s="39">
        <v>48.1</v>
      </c>
      <c r="S18" s="40">
        <v>47.8</v>
      </c>
      <c r="T18" s="40">
        <v>29.3</v>
      </c>
      <c r="U18" s="41">
        <v>30.7</v>
      </c>
      <c r="V18" s="39">
        <v>29</v>
      </c>
      <c r="W18" s="40">
        <v>20.8</v>
      </c>
      <c r="X18" s="40">
        <v>19.8</v>
      </c>
      <c r="Y18" s="41">
        <v>17.3</v>
      </c>
      <c r="Z18" s="39">
        <v>20.8</v>
      </c>
      <c r="AA18" s="40">
        <v>26.1</v>
      </c>
      <c r="AB18" s="40">
        <v>27.1</v>
      </c>
      <c r="AC18" s="41">
        <v>27.3</v>
      </c>
      <c r="AD18" s="39">
        <v>24</v>
      </c>
      <c r="AE18" s="40">
        <v>26.3</v>
      </c>
      <c r="AF18" s="40">
        <v>24.3</v>
      </c>
      <c r="AG18" s="41">
        <v>14</v>
      </c>
      <c r="AH18" s="39">
        <v>13.5</v>
      </c>
      <c r="AI18" s="40">
        <v>13.7</v>
      </c>
      <c r="AJ18" s="40">
        <v>5.3</v>
      </c>
      <c r="AK18" s="41">
        <v>183.2</v>
      </c>
      <c r="AL18" s="39">
        <v>183.5</v>
      </c>
      <c r="AM18" s="40">
        <v>41.5</v>
      </c>
      <c r="AN18" s="40">
        <v>44.6</v>
      </c>
      <c r="AO18" s="41">
        <v>48.8</v>
      </c>
      <c r="AP18" s="40">
        <v>52</v>
      </c>
      <c r="AQ18" s="40">
        <v>5.4</v>
      </c>
    </row>
    <row r="19" spans="1:43" s="9" customFormat="1" ht="12.75">
      <c r="A19" s="97" t="s">
        <v>120</v>
      </c>
      <c r="B19" s="46">
        <f>SUM(B20)</f>
        <v>0</v>
      </c>
      <c r="C19" s="47">
        <f aca="true" t="shared" si="15" ref="C19:AQ19">SUM(C20)</f>
        <v>0</v>
      </c>
      <c r="D19" s="47">
        <f t="shared" si="15"/>
        <v>620.7</v>
      </c>
      <c r="E19" s="47">
        <f t="shared" si="15"/>
        <v>840.8</v>
      </c>
      <c r="F19" s="46">
        <f t="shared" si="15"/>
        <v>3773.7</v>
      </c>
      <c r="G19" s="47">
        <f t="shared" si="15"/>
        <v>6185</v>
      </c>
      <c r="H19" s="47">
        <f t="shared" si="15"/>
        <v>7325.5</v>
      </c>
      <c r="I19" s="48">
        <f t="shared" si="15"/>
        <v>7311.8</v>
      </c>
      <c r="J19" s="46">
        <f t="shared" si="15"/>
        <v>7384.4</v>
      </c>
      <c r="K19" s="47">
        <f t="shared" si="15"/>
        <v>7238.7</v>
      </c>
      <c r="L19" s="47">
        <f t="shared" si="15"/>
        <v>7343.7</v>
      </c>
      <c r="M19" s="48">
        <f t="shared" si="15"/>
        <v>7330.4</v>
      </c>
      <c r="N19" s="46">
        <f t="shared" si="15"/>
        <v>6786.9</v>
      </c>
      <c r="O19" s="47">
        <f t="shared" si="15"/>
        <v>6685</v>
      </c>
      <c r="P19" s="47">
        <f t="shared" si="15"/>
        <v>6496.5</v>
      </c>
      <c r="Q19" s="48">
        <f t="shared" si="15"/>
        <v>6218</v>
      </c>
      <c r="R19" s="46">
        <f t="shared" si="15"/>
        <v>6307.3</v>
      </c>
      <c r="S19" s="47">
        <f t="shared" si="15"/>
        <v>4949.4</v>
      </c>
      <c r="T19" s="47">
        <f t="shared" si="15"/>
        <v>5016.7</v>
      </c>
      <c r="U19" s="48">
        <f t="shared" si="15"/>
        <v>4982.3</v>
      </c>
      <c r="V19" s="46">
        <f t="shared" si="15"/>
        <v>5054.7</v>
      </c>
      <c r="W19" s="47">
        <f t="shared" si="15"/>
        <v>3518.5</v>
      </c>
      <c r="X19" s="47">
        <f t="shared" si="15"/>
        <v>0</v>
      </c>
      <c r="Y19" s="48">
        <f t="shared" si="15"/>
        <v>0</v>
      </c>
      <c r="Z19" s="46">
        <f t="shared" si="15"/>
        <v>0</v>
      </c>
      <c r="AA19" s="47">
        <f t="shared" si="15"/>
        <v>0</v>
      </c>
      <c r="AB19" s="47">
        <f t="shared" si="15"/>
        <v>0</v>
      </c>
      <c r="AC19" s="48">
        <f t="shared" si="15"/>
        <v>0</v>
      </c>
      <c r="AD19" s="46">
        <f t="shared" si="15"/>
        <v>0</v>
      </c>
      <c r="AE19" s="47">
        <f t="shared" si="15"/>
        <v>0</v>
      </c>
      <c r="AF19" s="47">
        <f t="shared" si="15"/>
        <v>0</v>
      </c>
      <c r="AG19" s="48">
        <f t="shared" si="15"/>
        <v>0</v>
      </c>
      <c r="AH19" s="46">
        <f t="shared" si="15"/>
        <v>1717.8</v>
      </c>
      <c r="AI19" s="47">
        <f t="shared" si="15"/>
        <v>1726.9</v>
      </c>
      <c r="AJ19" s="47">
        <f t="shared" si="15"/>
        <v>2333.2</v>
      </c>
      <c r="AK19" s="48">
        <f t="shared" si="15"/>
        <v>2800.7</v>
      </c>
      <c r="AL19" s="46">
        <f t="shared" si="15"/>
        <v>3119.9</v>
      </c>
      <c r="AM19" s="47">
        <f t="shared" si="15"/>
        <v>4359.2</v>
      </c>
      <c r="AN19" s="47">
        <f t="shared" si="15"/>
        <v>4549.9</v>
      </c>
      <c r="AO19" s="48">
        <f t="shared" si="15"/>
        <v>5164.1</v>
      </c>
      <c r="AP19" s="47">
        <f t="shared" si="15"/>
        <v>6244.7</v>
      </c>
      <c r="AQ19" s="47">
        <f t="shared" si="15"/>
        <v>7090.2</v>
      </c>
    </row>
    <row r="20" spans="1:43" s="9" customFormat="1" ht="12.75">
      <c r="A20" s="89" t="s">
        <v>113</v>
      </c>
      <c r="B20" s="39">
        <v>0</v>
      </c>
      <c r="C20" s="40">
        <v>0</v>
      </c>
      <c r="D20" s="40">
        <v>620.7</v>
      </c>
      <c r="E20" s="40">
        <v>840.8</v>
      </c>
      <c r="F20" s="39">
        <v>3773.7</v>
      </c>
      <c r="G20" s="40">
        <v>6185</v>
      </c>
      <c r="H20" s="40">
        <v>7325.5</v>
      </c>
      <c r="I20" s="41">
        <v>7311.8</v>
      </c>
      <c r="J20" s="39">
        <v>7384.4</v>
      </c>
      <c r="K20" s="40">
        <v>7238.7</v>
      </c>
      <c r="L20" s="40">
        <v>7343.7</v>
      </c>
      <c r="M20" s="41">
        <v>7330.4</v>
      </c>
      <c r="N20" s="39">
        <v>6786.9</v>
      </c>
      <c r="O20" s="40">
        <v>6685</v>
      </c>
      <c r="P20" s="40">
        <v>6496.5</v>
      </c>
      <c r="Q20" s="41">
        <v>6218</v>
      </c>
      <c r="R20" s="39">
        <v>6307.3</v>
      </c>
      <c r="S20" s="40">
        <v>4949.4</v>
      </c>
      <c r="T20" s="40">
        <v>5016.7</v>
      </c>
      <c r="U20" s="41">
        <v>4982.3</v>
      </c>
      <c r="V20" s="39">
        <v>5054.7</v>
      </c>
      <c r="W20" s="40">
        <v>3518.5</v>
      </c>
      <c r="X20" s="40">
        <v>0</v>
      </c>
      <c r="Y20" s="41">
        <v>0</v>
      </c>
      <c r="Z20" s="39">
        <v>0</v>
      </c>
      <c r="AA20" s="40">
        <v>0</v>
      </c>
      <c r="AB20" s="40">
        <v>0</v>
      </c>
      <c r="AC20" s="41">
        <v>0</v>
      </c>
      <c r="AD20" s="39">
        <v>0</v>
      </c>
      <c r="AE20" s="40">
        <v>0</v>
      </c>
      <c r="AF20" s="40">
        <v>0</v>
      </c>
      <c r="AG20" s="41">
        <v>0</v>
      </c>
      <c r="AH20" s="39">
        <v>1717.8</v>
      </c>
      <c r="AI20" s="40">
        <v>1726.9</v>
      </c>
      <c r="AJ20" s="40">
        <v>2333.2</v>
      </c>
      <c r="AK20" s="41">
        <v>2800.7</v>
      </c>
      <c r="AL20" s="39">
        <v>3119.9</v>
      </c>
      <c r="AM20" s="40">
        <v>4359.2</v>
      </c>
      <c r="AN20" s="40">
        <v>4549.9</v>
      </c>
      <c r="AO20" s="41">
        <v>5164.1</v>
      </c>
      <c r="AP20" s="40">
        <v>6244.7</v>
      </c>
      <c r="AQ20" s="40">
        <v>7090.2</v>
      </c>
    </row>
    <row r="21" spans="1:43" s="13" customFormat="1" ht="12.75">
      <c r="A21" s="98" t="s">
        <v>121</v>
      </c>
      <c r="B21" s="93">
        <f>B15+B19</f>
        <v>12001.7</v>
      </c>
      <c r="C21" s="94">
        <f aca="true" t="shared" si="16" ref="C21:W21">C15+C19</f>
        <v>9593.8</v>
      </c>
      <c r="D21" s="94">
        <f t="shared" si="16"/>
        <v>9149.900000000001</v>
      </c>
      <c r="E21" s="94">
        <f t="shared" si="16"/>
        <v>9388.3</v>
      </c>
      <c r="F21" s="93">
        <f t="shared" si="16"/>
        <v>13933.400000000001</v>
      </c>
      <c r="G21" s="94">
        <f t="shared" si="16"/>
        <v>17001.199999999997</v>
      </c>
      <c r="H21" s="94">
        <f t="shared" si="16"/>
        <v>19710.7</v>
      </c>
      <c r="I21" s="95">
        <f t="shared" si="16"/>
        <v>18050.9</v>
      </c>
      <c r="J21" s="93">
        <f t="shared" si="16"/>
        <v>15901.9</v>
      </c>
      <c r="K21" s="94">
        <f t="shared" si="16"/>
        <v>15568.2</v>
      </c>
      <c r="L21" s="94">
        <f t="shared" si="16"/>
        <v>14334.5</v>
      </c>
      <c r="M21" s="95">
        <f t="shared" si="16"/>
        <v>14166.3</v>
      </c>
      <c r="N21" s="93">
        <f t="shared" si="16"/>
        <v>21639.699999999997</v>
      </c>
      <c r="O21" s="94">
        <f t="shared" si="16"/>
        <v>21008.7</v>
      </c>
      <c r="P21" s="94">
        <f t="shared" si="16"/>
        <v>18736.4</v>
      </c>
      <c r="Q21" s="95">
        <f t="shared" si="16"/>
        <v>23006.8</v>
      </c>
      <c r="R21" s="93">
        <f t="shared" si="16"/>
        <v>23574.1</v>
      </c>
      <c r="S21" s="94">
        <f t="shared" si="16"/>
        <v>23947.5</v>
      </c>
      <c r="T21" s="94">
        <f t="shared" si="16"/>
        <v>22396.3</v>
      </c>
      <c r="U21" s="95">
        <f t="shared" si="16"/>
        <v>20450.7</v>
      </c>
      <c r="V21" s="93">
        <f t="shared" si="16"/>
        <v>16819.8</v>
      </c>
      <c r="W21" s="94">
        <f t="shared" si="16"/>
        <v>13817.499999999998</v>
      </c>
      <c r="X21" s="94">
        <f aca="true" t="shared" si="17" ref="X21:AC21">X15+X19</f>
        <v>13536.099999999999</v>
      </c>
      <c r="Y21" s="95">
        <f t="shared" si="17"/>
        <v>17881.100000000002</v>
      </c>
      <c r="Z21" s="93">
        <f t="shared" si="17"/>
        <v>18003.9</v>
      </c>
      <c r="AA21" s="94">
        <f t="shared" si="17"/>
        <v>20256.699999999997</v>
      </c>
      <c r="AB21" s="94">
        <f t="shared" si="17"/>
        <v>19794</v>
      </c>
      <c r="AC21" s="95">
        <f t="shared" si="17"/>
        <v>19493.6</v>
      </c>
      <c r="AD21" s="93">
        <f aca="true" t="shared" si="18" ref="AD21:AI21">AD15+AD19</f>
        <v>20994.899999999998</v>
      </c>
      <c r="AE21" s="94">
        <f t="shared" si="18"/>
        <v>22090.4</v>
      </c>
      <c r="AF21" s="94">
        <f t="shared" si="18"/>
        <v>23190.600000000002</v>
      </c>
      <c r="AG21" s="95">
        <f t="shared" si="18"/>
        <v>22829.3</v>
      </c>
      <c r="AH21" s="93">
        <f t="shared" si="18"/>
        <v>23869.7</v>
      </c>
      <c r="AI21" s="94">
        <f t="shared" si="18"/>
        <v>24267.600000000002</v>
      </c>
      <c r="AJ21" s="94">
        <f aca="true" t="shared" si="19" ref="AJ21:AQ21">AJ15+AJ19</f>
        <v>24310.3</v>
      </c>
      <c r="AK21" s="95">
        <f t="shared" si="19"/>
        <v>23478.800000000003</v>
      </c>
      <c r="AL21" s="93">
        <f t="shared" si="19"/>
        <v>25072</v>
      </c>
      <c r="AM21" s="94">
        <f t="shared" si="19"/>
        <v>27761</v>
      </c>
      <c r="AN21" s="94">
        <f t="shared" si="19"/>
        <v>27344</v>
      </c>
      <c r="AO21" s="95">
        <f t="shared" si="19"/>
        <v>25721.300000000003</v>
      </c>
      <c r="AP21" s="94">
        <f t="shared" si="19"/>
        <v>26569.7</v>
      </c>
      <c r="AQ21" s="94">
        <f t="shared" si="19"/>
        <v>24427.600000000002</v>
      </c>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2">
    <mergeCell ref="A2:A3"/>
    <mergeCell ref="B2:E2"/>
    <mergeCell ref="F2:I2"/>
    <mergeCell ref="J2:M2"/>
    <mergeCell ref="AH2:AK2"/>
    <mergeCell ref="N2:Q2"/>
    <mergeCell ref="AD2:AG2"/>
    <mergeCell ref="AP2:AQ2"/>
    <mergeCell ref="Z2:AC2"/>
    <mergeCell ref="V2:Y2"/>
    <mergeCell ref="R2:U2"/>
    <mergeCell ref="AL2:AO2"/>
  </mergeCells>
  <printOptions horizontalCentered="1"/>
  <pageMargins left="0.2362204724409449" right="0.2362204724409449" top="0.7480314960629921" bottom="0.7480314960629921" header="0.31496062992125984" footer="0.31496062992125984"/>
  <pageSetup horizontalDpi="600" verticalDpi="600" orientation="landscape" paperSize="9" scale="42" r:id="rId1"/>
  <headerFooter alignWithMargins="0">
    <oddHeader>&amp;C&amp;"Times New Roman,Kursywa"&amp;12
</oddHeader>
  </headerFooter>
</worksheet>
</file>

<file path=xl/worksheets/sheet12.xml><?xml version="1.0" encoding="utf-8"?>
<worksheet xmlns="http://schemas.openxmlformats.org/spreadsheetml/2006/main" xmlns:r="http://schemas.openxmlformats.org/officeDocument/2006/relationships">
  <dimension ref="A2:AQ45"/>
  <sheetViews>
    <sheetView showGridLines="0" view="pageBreakPreview" zoomScaleSheetLayoutView="100" zoomScalePageLayoutView="80" workbookViewId="0" topLeftCell="A2">
      <pane xSplit="1" ySplit="3" topLeftCell="X5" activePane="bottomRight" state="frozen"/>
      <selection pane="topLeft" activeCell="B2" sqref="B2:B3"/>
      <selection pane="topRight" activeCell="B2" sqref="B2:B3"/>
      <selection pane="bottomLeft" activeCell="B2" sqref="B2:B3"/>
      <selection pane="bottomRight" activeCell="A3" sqref="A3:A4"/>
    </sheetView>
  </sheetViews>
  <sheetFormatPr defaultColWidth="8.875" defaultRowHeight="12.75"/>
  <cols>
    <col min="1" max="1" width="49.75390625" style="2" customWidth="1"/>
    <col min="2" max="29" width="7.875" style="3" bestFit="1" customWidth="1"/>
    <col min="30" max="31" width="8.125" style="3" bestFit="1" customWidth="1"/>
    <col min="32" max="34" width="8.125" style="3" customWidth="1"/>
    <col min="35" max="36" width="8.125" style="3" bestFit="1" customWidth="1"/>
    <col min="37" max="38" width="8.125" style="3" customWidth="1"/>
    <col min="39" max="40" width="8.125" style="3" bestFit="1" customWidth="1"/>
    <col min="41" max="42" width="8.125" style="3" customWidth="1"/>
    <col min="43" max="16384" width="8.875" style="3" customWidth="1"/>
  </cols>
  <sheetData>
    <row r="2" ht="12.75">
      <c r="A2" s="246" t="s">
        <v>281</v>
      </c>
    </row>
    <row r="3" spans="1:43" ht="12.75" customHeight="1">
      <c r="A3" s="332" t="s">
        <v>155</v>
      </c>
      <c r="B3" s="334">
        <v>2007</v>
      </c>
      <c r="C3" s="335"/>
      <c r="D3" s="335"/>
      <c r="E3" s="335"/>
      <c r="F3" s="334">
        <v>2008</v>
      </c>
      <c r="G3" s="335"/>
      <c r="H3" s="335"/>
      <c r="I3" s="335"/>
      <c r="J3" s="334">
        <v>2009</v>
      </c>
      <c r="K3" s="335"/>
      <c r="L3" s="335"/>
      <c r="M3" s="335"/>
      <c r="N3" s="334">
        <v>2010</v>
      </c>
      <c r="O3" s="335"/>
      <c r="P3" s="335"/>
      <c r="Q3" s="335"/>
      <c r="R3" s="334">
        <v>2011</v>
      </c>
      <c r="S3" s="335"/>
      <c r="T3" s="335"/>
      <c r="U3" s="335"/>
      <c r="V3" s="334">
        <v>2012</v>
      </c>
      <c r="W3" s="335"/>
      <c r="X3" s="335"/>
      <c r="Y3" s="335"/>
      <c r="Z3" s="334">
        <v>2013</v>
      </c>
      <c r="AA3" s="335"/>
      <c r="AB3" s="335"/>
      <c r="AC3" s="337"/>
      <c r="AD3" s="335">
        <v>2014</v>
      </c>
      <c r="AE3" s="335"/>
      <c r="AF3" s="335"/>
      <c r="AG3" s="336"/>
      <c r="AH3" s="340">
        <v>2015</v>
      </c>
      <c r="AI3" s="335"/>
      <c r="AJ3" s="335"/>
      <c r="AK3" s="336"/>
      <c r="AL3" s="340">
        <v>2016</v>
      </c>
      <c r="AM3" s="335"/>
      <c r="AN3" s="335"/>
      <c r="AO3" s="336"/>
      <c r="AP3" s="346">
        <v>2017</v>
      </c>
      <c r="AQ3" s="347"/>
    </row>
    <row r="4" spans="1:43" s="4" customFormat="1" ht="12.75" customHeight="1">
      <c r="A4" s="333"/>
      <c r="B4" s="34" t="s">
        <v>0</v>
      </c>
      <c r="C4" s="35" t="s">
        <v>1</v>
      </c>
      <c r="D4" s="35" t="s">
        <v>2</v>
      </c>
      <c r="E4" s="35" t="s">
        <v>3</v>
      </c>
      <c r="F4" s="34" t="s">
        <v>0</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5" t="s">
        <v>3</v>
      </c>
      <c r="Z4" s="190" t="s">
        <v>0</v>
      </c>
      <c r="AA4" s="191" t="s">
        <v>1</v>
      </c>
      <c r="AB4" s="191" t="s">
        <v>2</v>
      </c>
      <c r="AC4" s="192" t="s">
        <v>3</v>
      </c>
      <c r="AD4" s="191" t="s">
        <v>0</v>
      </c>
      <c r="AE4" s="191" t="s">
        <v>1</v>
      </c>
      <c r="AF4" s="191" t="s">
        <v>2</v>
      </c>
      <c r="AG4" s="192" t="s">
        <v>3</v>
      </c>
      <c r="AH4" s="191" t="s">
        <v>0</v>
      </c>
      <c r="AI4" s="191" t="s">
        <v>1</v>
      </c>
      <c r="AJ4" s="191" t="s">
        <v>2</v>
      </c>
      <c r="AK4" s="192" t="s">
        <v>3</v>
      </c>
      <c r="AL4" s="191" t="s">
        <v>0</v>
      </c>
      <c r="AM4" s="191" t="s">
        <v>1</v>
      </c>
      <c r="AN4" s="191" t="s">
        <v>2</v>
      </c>
      <c r="AO4" s="192" t="s">
        <v>3</v>
      </c>
      <c r="AP4" s="191" t="s">
        <v>0</v>
      </c>
      <c r="AQ4" s="191" t="s">
        <v>1</v>
      </c>
    </row>
    <row r="5" spans="1:43" s="4" customFormat="1" ht="12.75" customHeight="1">
      <c r="A5" s="20" t="s">
        <v>5</v>
      </c>
      <c r="B5" s="16"/>
      <c r="C5" s="6"/>
      <c r="D5" s="5"/>
      <c r="E5" s="6"/>
      <c r="F5" s="16"/>
      <c r="G5" s="6"/>
      <c r="H5" s="5"/>
      <c r="I5" s="17"/>
      <c r="J5" s="16"/>
      <c r="K5" s="6"/>
      <c r="L5" s="5"/>
      <c r="M5" s="17"/>
      <c r="N5" s="16"/>
      <c r="O5" s="6"/>
      <c r="P5" s="5"/>
      <c r="Q5" s="17"/>
      <c r="R5" s="16"/>
      <c r="S5" s="6"/>
      <c r="T5" s="5"/>
      <c r="U5" s="17"/>
      <c r="V5" s="16"/>
      <c r="W5" s="5"/>
      <c r="X5" s="5"/>
      <c r="Y5" s="5"/>
      <c r="Z5" s="16"/>
      <c r="AA5" s="5"/>
      <c r="AB5" s="5"/>
      <c r="AC5" s="18"/>
      <c r="AD5" s="5"/>
      <c r="AE5" s="5"/>
      <c r="AF5" s="5"/>
      <c r="AG5" s="18"/>
      <c r="AH5" s="5"/>
      <c r="AI5" s="5"/>
      <c r="AJ5" s="5"/>
      <c r="AK5" s="18"/>
      <c r="AL5" s="5"/>
      <c r="AM5" s="5"/>
      <c r="AN5" s="5"/>
      <c r="AO5" s="18"/>
      <c r="AP5" s="5"/>
      <c r="AQ5" s="5"/>
    </row>
    <row r="6" spans="1:43" s="7" customFormat="1" ht="12.75">
      <c r="A6" s="87" t="s">
        <v>156</v>
      </c>
      <c r="B6" s="39">
        <f aca="true" t="shared" si="0" ref="B6:AE6">SUM(B15,B24,B29,B37)</f>
        <v>37903.5</v>
      </c>
      <c r="C6" s="40">
        <f t="shared" si="0"/>
        <v>37613</v>
      </c>
      <c r="D6" s="40">
        <f t="shared" si="0"/>
        <v>38935.5</v>
      </c>
      <c r="E6" s="40">
        <f t="shared" si="0"/>
        <v>42952.5</v>
      </c>
      <c r="F6" s="39">
        <f t="shared" si="0"/>
        <v>44148.4</v>
      </c>
      <c r="G6" s="40">
        <f t="shared" si="0"/>
        <v>46819.5</v>
      </c>
      <c r="H6" s="40">
        <f t="shared" si="0"/>
        <v>50369.6</v>
      </c>
      <c r="I6" s="41">
        <f t="shared" si="0"/>
        <v>46317.7</v>
      </c>
      <c r="J6" s="39">
        <f t="shared" si="0"/>
        <v>45628.1</v>
      </c>
      <c r="K6" s="40">
        <f t="shared" si="0"/>
        <v>45008.2</v>
      </c>
      <c r="L6" s="40">
        <f t="shared" si="0"/>
        <v>45775.9</v>
      </c>
      <c r="M6" s="41">
        <f t="shared" si="0"/>
        <v>46762</v>
      </c>
      <c r="N6" s="39">
        <f t="shared" si="0"/>
        <v>45165.799999999996</v>
      </c>
      <c r="O6" s="40">
        <f t="shared" si="0"/>
        <v>45293.700000000004</v>
      </c>
      <c r="P6" s="40">
        <f t="shared" si="0"/>
        <v>47122.899999999994</v>
      </c>
      <c r="Q6" s="41">
        <f t="shared" si="0"/>
        <v>46884.899999999994</v>
      </c>
      <c r="R6" s="39">
        <f t="shared" si="0"/>
        <v>45740.9</v>
      </c>
      <c r="S6" s="40">
        <f t="shared" si="0"/>
        <v>47565.100000000006</v>
      </c>
      <c r="T6" s="40">
        <f t="shared" si="0"/>
        <v>50063.799999999996</v>
      </c>
      <c r="U6" s="41">
        <f t="shared" si="0"/>
        <v>52379.1</v>
      </c>
      <c r="V6" s="39">
        <f t="shared" si="0"/>
        <v>51557.8</v>
      </c>
      <c r="W6" s="40">
        <f t="shared" si="0"/>
        <v>53253.5</v>
      </c>
      <c r="X6" s="40">
        <f t="shared" si="0"/>
        <v>53924.7</v>
      </c>
      <c r="Y6" s="40">
        <f t="shared" si="0"/>
        <v>56834.600000000006</v>
      </c>
      <c r="Z6" s="39">
        <f t="shared" si="0"/>
        <v>57034.1</v>
      </c>
      <c r="AA6" s="40">
        <f t="shared" si="0"/>
        <v>61127.49999999999</v>
      </c>
      <c r="AB6" s="40">
        <f t="shared" si="0"/>
        <v>65255.7</v>
      </c>
      <c r="AC6" s="41">
        <f t="shared" si="0"/>
        <v>66544</v>
      </c>
      <c r="AD6" s="40">
        <f t="shared" si="0"/>
        <v>66012.3</v>
      </c>
      <c r="AE6" s="40">
        <f t="shared" si="0"/>
        <v>68471</v>
      </c>
      <c r="AF6" s="40">
        <f aca="true" t="shared" si="1" ref="AF6:AK6">SUM(AF15,AF24,AF29,AF37)</f>
        <v>70537.8</v>
      </c>
      <c r="AG6" s="41">
        <f t="shared" si="1"/>
        <v>74405.7</v>
      </c>
      <c r="AH6" s="40">
        <f t="shared" si="1"/>
        <v>76535.20000000001</v>
      </c>
      <c r="AI6" s="40">
        <f t="shared" si="1"/>
        <v>79505.6</v>
      </c>
      <c r="AJ6" s="40">
        <f t="shared" si="1"/>
        <v>82585</v>
      </c>
      <c r="AK6" s="41">
        <f t="shared" si="1"/>
        <v>86463.7</v>
      </c>
      <c r="AL6" s="40">
        <f aca="true" t="shared" si="2" ref="AL6:AQ6">SUM(AL15,AL24,AL29,AL37)</f>
        <v>89106.8</v>
      </c>
      <c r="AM6" s="40">
        <f t="shared" si="2"/>
        <v>91728.09999999999</v>
      </c>
      <c r="AN6" s="40">
        <f t="shared" si="2"/>
        <v>90785</v>
      </c>
      <c r="AO6" s="41">
        <f t="shared" si="2"/>
        <v>94113.40000000001</v>
      </c>
      <c r="AP6" s="40">
        <f t="shared" si="2"/>
        <v>95065.2</v>
      </c>
      <c r="AQ6" s="40">
        <f t="shared" si="2"/>
        <v>95981.1</v>
      </c>
    </row>
    <row r="7" spans="1:43" s="7" customFormat="1" ht="12.75">
      <c r="A7" s="38" t="s">
        <v>157</v>
      </c>
      <c r="B7" s="39">
        <f aca="true" t="shared" si="3" ref="B7:AE7">SUM(B18,B27,B32,B40)</f>
        <v>481</v>
      </c>
      <c r="C7" s="40">
        <f t="shared" si="3"/>
        <v>648.6999999999999</v>
      </c>
      <c r="D7" s="40">
        <f t="shared" si="3"/>
        <v>659.7999999999997</v>
      </c>
      <c r="E7" s="40">
        <f t="shared" si="3"/>
        <v>694</v>
      </c>
      <c r="F7" s="39">
        <f t="shared" si="3"/>
        <v>543.1</v>
      </c>
      <c r="G7" s="40">
        <f t="shared" si="3"/>
        <v>626.0999999999999</v>
      </c>
      <c r="H7" s="40">
        <f t="shared" si="3"/>
        <v>634.8000000000001</v>
      </c>
      <c r="I7" s="41">
        <f t="shared" si="3"/>
        <v>592.2</v>
      </c>
      <c r="J7" s="39">
        <f t="shared" si="3"/>
        <v>716.6999999999999</v>
      </c>
      <c r="K7" s="40">
        <f t="shared" si="3"/>
        <v>720.4</v>
      </c>
      <c r="L7" s="40">
        <f t="shared" si="3"/>
        <v>729.1</v>
      </c>
      <c r="M7" s="41">
        <f t="shared" si="3"/>
        <v>557.1</v>
      </c>
      <c r="N7" s="39">
        <f t="shared" si="3"/>
        <v>541.8</v>
      </c>
      <c r="O7" s="40">
        <f t="shared" si="3"/>
        <v>597.6</v>
      </c>
      <c r="P7" s="40">
        <f t="shared" si="3"/>
        <v>578.7</v>
      </c>
      <c r="Q7" s="41">
        <f t="shared" si="3"/>
        <v>563.3</v>
      </c>
      <c r="R7" s="39">
        <f t="shared" si="3"/>
        <v>624.2</v>
      </c>
      <c r="S7" s="40">
        <f t="shared" si="3"/>
        <v>646.5000000000001</v>
      </c>
      <c r="T7" s="40">
        <f t="shared" si="3"/>
        <v>656.6999999999999</v>
      </c>
      <c r="U7" s="41">
        <f t="shared" si="3"/>
        <v>481.50000000000006</v>
      </c>
      <c r="V7" s="39">
        <f t="shared" si="3"/>
        <v>863.6999999999999</v>
      </c>
      <c r="W7" s="40">
        <f t="shared" si="3"/>
        <v>928.9000000000001</v>
      </c>
      <c r="X7" s="40">
        <f t="shared" si="3"/>
        <v>967.0000000000001</v>
      </c>
      <c r="Y7" s="40">
        <f t="shared" si="3"/>
        <v>1063.8</v>
      </c>
      <c r="Z7" s="39">
        <f t="shared" si="3"/>
        <v>1092.7</v>
      </c>
      <c r="AA7" s="40">
        <f t="shared" si="3"/>
        <v>1093.1</v>
      </c>
      <c r="AB7" s="40">
        <f t="shared" si="3"/>
        <v>1142.2000000000003</v>
      </c>
      <c r="AC7" s="41">
        <f t="shared" si="3"/>
        <v>1003.9000000000001</v>
      </c>
      <c r="AD7" s="40">
        <f t="shared" si="3"/>
        <v>1013.6</v>
      </c>
      <c r="AE7" s="40">
        <f t="shared" si="3"/>
        <v>1218.2</v>
      </c>
      <c r="AF7" s="40">
        <f aca="true" t="shared" si="4" ref="AF7:AK7">SUM(AF18,AF27,AF32,AF40)</f>
        <v>1160.6999999999998</v>
      </c>
      <c r="AG7" s="41">
        <f t="shared" si="4"/>
        <v>1253.2</v>
      </c>
      <c r="AH7" s="40">
        <f t="shared" si="4"/>
        <v>1071.5</v>
      </c>
      <c r="AI7" s="40">
        <f t="shared" si="4"/>
        <v>1245.0000000000002</v>
      </c>
      <c r="AJ7" s="40">
        <f t="shared" si="4"/>
        <v>1240.8999999999999</v>
      </c>
      <c r="AK7" s="41">
        <f t="shared" si="4"/>
        <v>1354.8000000000002</v>
      </c>
      <c r="AL7" s="40">
        <f aca="true" t="shared" si="5" ref="AL7:AQ7">SUM(AL18,AL27,AL32,AL40)</f>
        <v>1296.2</v>
      </c>
      <c r="AM7" s="40">
        <f t="shared" si="5"/>
        <v>1755.2</v>
      </c>
      <c r="AN7" s="40">
        <f t="shared" si="5"/>
        <v>1519.6</v>
      </c>
      <c r="AO7" s="41">
        <f t="shared" si="5"/>
        <v>1712</v>
      </c>
      <c r="AP7" s="40">
        <f t="shared" si="5"/>
        <v>1555.5</v>
      </c>
      <c r="AQ7" s="40">
        <f t="shared" si="5"/>
        <v>1727.6999999999998</v>
      </c>
    </row>
    <row r="8" spans="1:43" s="201" customFormat="1" ht="17.25" customHeight="1">
      <c r="A8" s="146" t="s">
        <v>158</v>
      </c>
      <c r="B8" s="198">
        <f>SUM(B6:B7)</f>
        <v>38384.5</v>
      </c>
      <c r="C8" s="199">
        <f aca="true" t="shared" si="6" ref="C8:AA8">SUM(C6:C7)</f>
        <v>38261.7</v>
      </c>
      <c r="D8" s="199">
        <f t="shared" si="6"/>
        <v>39595.3</v>
      </c>
      <c r="E8" s="199">
        <f t="shared" si="6"/>
        <v>43646.5</v>
      </c>
      <c r="F8" s="198">
        <f t="shared" si="6"/>
        <v>44691.5</v>
      </c>
      <c r="G8" s="199">
        <f t="shared" si="6"/>
        <v>47445.6</v>
      </c>
      <c r="H8" s="199">
        <f t="shared" si="6"/>
        <v>51004.4</v>
      </c>
      <c r="I8" s="200">
        <f t="shared" si="6"/>
        <v>46909.899999999994</v>
      </c>
      <c r="J8" s="198">
        <f t="shared" si="6"/>
        <v>46344.799999999996</v>
      </c>
      <c r="K8" s="199">
        <f t="shared" si="6"/>
        <v>45728.6</v>
      </c>
      <c r="L8" s="199">
        <f t="shared" si="6"/>
        <v>46505</v>
      </c>
      <c r="M8" s="200">
        <f t="shared" si="6"/>
        <v>47319.1</v>
      </c>
      <c r="N8" s="198">
        <f t="shared" si="6"/>
        <v>45707.6</v>
      </c>
      <c r="O8" s="199">
        <f t="shared" si="6"/>
        <v>45891.3</v>
      </c>
      <c r="P8" s="199">
        <f t="shared" si="6"/>
        <v>47701.59999999999</v>
      </c>
      <c r="Q8" s="200">
        <f t="shared" si="6"/>
        <v>47448.2</v>
      </c>
      <c r="R8" s="198">
        <f t="shared" si="6"/>
        <v>46365.1</v>
      </c>
      <c r="S8" s="199">
        <f t="shared" si="6"/>
        <v>48211.600000000006</v>
      </c>
      <c r="T8" s="199">
        <f t="shared" si="6"/>
        <v>50720.49999999999</v>
      </c>
      <c r="U8" s="200">
        <f t="shared" si="6"/>
        <v>52860.6</v>
      </c>
      <c r="V8" s="198">
        <f t="shared" si="6"/>
        <v>52421.5</v>
      </c>
      <c r="W8" s="199">
        <f t="shared" si="6"/>
        <v>54182.4</v>
      </c>
      <c r="X8" s="199">
        <f t="shared" si="6"/>
        <v>54891.7</v>
      </c>
      <c r="Y8" s="199">
        <f t="shared" si="6"/>
        <v>57898.40000000001</v>
      </c>
      <c r="Z8" s="198">
        <f t="shared" si="6"/>
        <v>58126.799999999996</v>
      </c>
      <c r="AA8" s="199">
        <f t="shared" si="6"/>
        <v>62220.59999999999</v>
      </c>
      <c r="AB8" s="199">
        <f aca="true" t="shared" si="7" ref="AB8:AG8">SUM(AB6:AB7)</f>
        <v>66397.9</v>
      </c>
      <c r="AC8" s="200">
        <f t="shared" si="7"/>
        <v>67547.9</v>
      </c>
      <c r="AD8" s="199">
        <f t="shared" si="7"/>
        <v>67025.90000000001</v>
      </c>
      <c r="AE8" s="199">
        <f t="shared" si="7"/>
        <v>69689.2</v>
      </c>
      <c r="AF8" s="199">
        <f t="shared" si="7"/>
        <v>71698.5</v>
      </c>
      <c r="AG8" s="200">
        <f t="shared" si="7"/>
        <v>75658.9</v>
      </c>
      <c r="AH8" s="199">
        <f aca="true" t="shared" si="8" ref="AH8:AQ8">SUM(AH6:AH7)</f>
        <v>77606.70000000001</v>
      </c>
      <c r="AI8" s="199">
        <f t="shared" si="8"/>
        <v>80750.6</v>
      </c>
      <c r="AJ8" s="199">
        <f t="shared" si="8"/>
        <v>83825.9</v>
      </c>
      <c r="AK8" s="200">
        <f t="shared" si="8"/>
        <v>87818.5</v>
      </c>
      <c r="AL8" s="199">
        <f t="shared" si="8"/>
        <v>90403</v>
      </c>
      <c r="AM8" s="199">
        <f>SUM(AM6:AM7)</f>
        <v>93483.29999999999</v>
      </c>
      <c r="AN8" s="199">
        <f>SUM(AN6:AN7)</f>
        <v>92304.6</v>
      </c>
      <c r="AO8" s="200">
        <f t="shared" si="8"/>
        <v>95825.40000000001</v>
      </c>
      <c r="AP8" s="199">
        <f t="shared" si="8"/>
        <v>96620.7</v>
      </c>
      <c r="AQ8" s="199">
        <f t="shared" si="8"/>
        <v>97708.8</v>
      </c>
    </row>
    <row r="9" spans="1:43" s="9" customFormat="1" ht="12.75">
      <c r="A9" s="89" t="s">
        <v>208</v>
      </c>
      <c r="B9" s="39">
        <f>SUM(B19)</f>
        <v>2997.5</v>
      </c>
      <c r="C9" s="40">
        <f aca="true" t="shared" si="9" ref="C9:W9">SUM(C19)</f>
        <v>2818.1000000000004</v>
      </c>
      <c r="D9" s="40">
        <f t="shared" si="9"/>
        <v>2449.8999999999996</v>
      </c>
      <c r="E9" s="40">
        <f t="shared" si="9"/>
        <v>2342.2</v>
      </c>
      <c r="F9" s="39">
        <f t="shared" si="9"/>
        <v>2498.6</v>
      </c>
      <c r="G9" s="40">
        <f t="shared" si="9"/>
        <v>3802.2</v>
      </c>
      <c r="H9" s="40">
        <f t="shared" si="9"/>
        <v>3351</v>
      </c>
      <c r="I9" s="41">
        <f t="shared" si="9"/>
        <v>4396.400000000001</v>
      </c>
      <c r="J9" s="39">
        <f t="shared" si="9"/>
        <v>4990.7</v>
      </c>
      <c r="K9" s="40">
        <f t="shared" si="9"/>
        <v>4152.5</v>
      </c>
      <c r="L9" s="40">
        <f t="shared" si="9"/>
        <v>4327</v>
      </c>
      <c r="M9" s="41">
        <f t="shared" si="9"/>
        <v>3445.4999999999995</v>
      </c>
      <c r="N9" s="39">
        <f t="shared" si="9"/>
        <v>3147.7000000000003</v>
      </c>
      <c r="O9" s="40">
        <f t="shared" si="9"/>
        <v>3962.7000000000003</v>
      </c>
      <c r="P9" s="40">
        <f t="shared" si="9"/>
        <v>3319.5</v>
      </c>
      <c r="Q9" s="41">
        <f t="shared" si="9"/>
        <v>2726</v>
      </c>
      <c r="R9" s="39">
        <f t="shared" si="9"/>
        <v>2774.4</v>
      </c>
      <c r="S9" s="40">
        <f t="shared" si="9"/>
        <v>2772.2000000000003</v>
      </c>
      <c r="T9" s="40">
        <f t="shared" si="9"/>
        <v>2440.5</v>
      </c>
      <c r="U9" s="41">
        <f t="shared" si="9"/>
        <v>3010.7</v>
      </c>
      <c r="V9" s="39">
        <f t="shared" si="9"/>
        <v>3104.7</v>
      </c>
      <c r="W9" s="40">
        <f t="shared" si="9"/>
        <v>3719.4</v>
      </c>
      <c r="X9" s="40">
        <f aca="true" t="shared" si="10" ref="X9:AC9">SUM(X19)</f>
        <v>3209</v>
      </c>
      <c r="Y9" s="40">
        <f t="shared" si="10"/>
        <v>3544.6999999999994</v>
      </c>
      <c r="Z9" s="39">
        <f t="shared" si="10"/>
        <v>2440.7</v>
      </c>
      <c r="AA9" s="40">
        <f t="shared" si="10"/>
        <v>2763</v>
      </c>
      <c r="AB9" s="40">
        <f t="shared" si="10"/>
        <v>3874.7000000000007</v>
      </c>
      <c r="AC9" s="41">
        <f t="shared" si="10"/>
        <v>3216.2</v>
      </c>
      <c r="AD9" s="40">
        <f aca="true" t="shared" si="11" ref="AD9:AI9">SUM(AD19)</f>
        <v>2392.3</v>
      </c>
      <c r="AE9" s="40">
        <f t="shared" si="11"/>
        <v>2641.5</v>
      </c>
      <c r="AF9" s="40">
        <f t="shared" si="11"/>
        <v>2921.7999999999997</v>
      </c>
      <c r="AG9" s="41">
        <f t="shared" si="11"/>
        <v>2243.7999999999997</v>
      </c>
      <c r="AH9" s="40">
        <f t="shared" si="11"/>
        <v>2426.3</v>
      </c>
      <c r="AI9" s="40">
        <f t="shared" si="11"/>
        <v>2083.7000000000003</v>
      </c>
      <c r="AJ9" s="40">
        <f aca="true" t="shared" si="12" ref="AJ9:AQ9">SUM(AJ19)</f>
        <v>2689.7000000000003</v>
      </c>
      <c r="AK9" s="41">
        <f t="shared" si="12"/>
        <v>2417.3</v>
      </c>
      <c r="AL9" s="40">
        <f t="shared" si="12"/>
        <v>2527.9</v>
      </c>
      <c r="AM9" s="40">
        <f t="shared" si="12"/>
        <v>2700.1</v>
      </c>
      <c r="AN9" s="40">
        <f t="shared" si="12"/>
        <v>2775.5</v>
      </c>
      <c r="AO9" s="41">
        <f t="shared" si="12"/>
        <v>3617.9</v>
      </c>
      <c r="AP9" s="40">
        <f t="shared" si="12"/>
        <v>2957.6</v>
      </c>
      <c r="AQ9" s="40">
        <f t="shared" si="12"/>
        <v>4115.5</v>
      </c>
    </row>
    <row r="10" spans="1:43" s="9" customFormat="1" ht="12.75" customHeight="1">
      <c r="A10" s="87" t="s">
        <v>209</v>
      </c>
      <c r="B10" s="39">
        <f>SUM(B33)</f>
        <v>33444.9</v>
      </c>
      <c r="C10" s="40">
        <f aca="true" t="shared" si="13" ref="C10:W10">SUM(C33)</f>
        <v>33312.7</v>
      </c>
      <c r="D10" s="40">
        <f t="shared" si="13"/>
        <v>34912.6</v>
      </c>
      <c r="E10" s="40">
        <f t="shared" si="13"/>
        <v>38725.3</v>
      </c>
      <c r="F10" s="39">
        <f t="shared" si="13"/>
        <v>39810.700000000004</v>
      </c>
      <c r="G10" s="40">
        <f t="shared" si="13"/>
        <v>40753.4</v>
      </c>
      <c r="H10" s="40">
        <f t="shared" si="13"/>
        <v>45088.3</v>
      </c>
      <c r="I10" s="41">
        <f t="shared" si="13"/>
        <v>39611.299999999996</v>
      </c>
      <c r="J10" s="39">
        <f t="shared" si="13"/>
        <v>39154.1</v>
      </c>
      <c r="K10" s="40">
        <f t="shared" si="13"/>
        <v>39901.399999999994</v>
      </c>
      <c r="L10" s="40">
        <f t="shared" si="13"/>
        <v>40493.2</v>
      </c>
      <c r="M10" s="41">
        <f t="shared" si="13"/>
        <v>42364.3</v>
      </c>
      <c r="N10" s="39">
        <f t="shared" si="13"/>
        <v>41033.7</v>
      </c>
      <c r="O10" s="40">
        <f t="shared" si="13"/>
        <v>40545.5</v>
      </c>
      <c r="P10" s="40">
        <f t="shared" si="13"/>
        <v>41582.299999999996</v>
      </c>
      <c r="Q10" s="41">
        <f t="shared" si="13"/>
        <v>43025.299999999996</v>
      </c>
      <c r="R10" s="39">
        <f t="shared" si="13"/>
        <v>41801.299999999996</v>
      </c>
      <c r="S10" s="40">
        <f t="shared" si="13"/>
        <v>43799.899999999994</v>
      </c>
      <c r="T10" s="40">
        <f t="shared" si="13"/>
        <v>46054.7</v>
      </c>
      <c r="U10" s="41">
        <f t="shared" si="13"/>
        <v>47745.2</v>
      </c>
      <c r="V10" s="39">
        <f t="shared" si="13"/>
        <v>47634.90000000001</v>
      </c>
      <c r="W10" s="40">
        <f t="shared" si="13"/>
        <v>48818.4</v>
      </c>
      <c r="X10" s="40">
        <f aca="true" t="shared" si="14" ref="X10:AC10">SUM(X33)</f>
        <v>50048.899999999994</v>
      </c>
      <c r="Y10" s="40">
        <f t="shared" si="14"/>
        <v>52251.100000000006</v>
      </c>
      <c r="Z10" s="39">
        <f t="shared" si="14"/>
        <v>53749.50000000001</v>
      </c>
      <c r="AA10" s="40">
        <f t="shared" si="14"/>
        <v>57471.799999999996</v>
      </c>
      <c r="AB10" s="40">
        <f t="shared" si="14"/>
        <v>60576.7</v>
      </c>
      <c r="AC10" s="41">
        <f t="shared" si="14"/>
        <v>62231.3</v>
      </c>
      <c r="AD10" s="40">
        <f aca="true" t="shared" si="15" ref="AD10:AI10">SUM(AD33)</f>
        <v>62610.9</v>
      </c>
      <c r="AE10" s="40">
        <f t="shared" si="15"/>
        <v>65126.4</v>
      </c>
      <c r="AF10" s="40">
        <f t="shared" si="15"/>
        <v>66832.6</v>
      </c>
      <c r="AG10" s="41">
        <f t="shared" si="15"/>
        <v>71539.29999999999</v>
      </c>
      <c r="AH10" s="40">
        <f t="shared" si="15"/>
        <v>73225.8</v>
      </c>
      <c r="AI10" s="40">
        <f t="shared" si="15"/>
        <v>76942.5</v>
      </c>
      <c r="AJ10" s="40">
        <f aca="true" t="shared" si="16" ref="AJ10:AQ10">SUM(AJ33)</f>
        <v>79348.8</v>
      </c>
      <c r="AK10" s="41">
        <f t="shared" si="16"/>
        <v>83769.29999999999</v>
      </c>
      <c r="AL10" s="40">
        <f t="shared" si="16"/>
        <v>86077.3</v>
      </c>
      <c r="AM10" s="40">
        <f t="shared" si="16"/>
        <v>88521.8</v>
      </c>
      <c r="AN10" s="40">
        <f t="shared" si="16"/>
        <v>87572.29999999999</v>
      </c>
      <c r="AO10" s="41">
        <f t="shared" si="16"/>
        <v>90456.5</v>
      </c>
      <c r="AP10" s="40">
        <f t="shared" si="16"/>
        <v>91082.7</v>
      </c>
      <c r="AQ10" s="40">
        <f t="shared" si="16"/>
        <v>91830.20000000001</v>
      </c>
    </row>
    <row r="11" spans="1:43" s="9" customFormat="1" ht="22.5">
      <c r="A11" s="87" t="s">
        <v>210</v>
      </c>
      <c r="B11" s="39">
        <f>SUM(B41)</f>
        <v>1942.1</v>
      </c>
      <c r="C11" s="40">
        <f aca="true" t="shared" si="17" ref="C11:W11">SUM(C41)</f>
        <v>2130.8999999999996</v>
      </c>
      <c r="D11" s="40">
        <f t="shared" si="17"/>
        <v>2232.8</v>
      </c>
      <c r="E11" s="40">
        <f t="shared" si="17"/>
        <v>2579</v>
      </c>
      <c r="F11" s="39">
        <f t="shared" si="17"/>
        <v>2382.2</v>
      </c>
      <c r="G11" s="40">
        <f t="shared" si="17"/>
        <v>2890</v>
      </c>
      <c r="H11" s="40">
        <f t="shared" si="17"/>
        <v>2565.1</v>
      </c>
      <c r="I11" s="41">
        <f t="shared" si="17"/>
        <v>2902.2</v>
      </c>
      <c r="J11" s="39">
        <f t="shared" si="17"/>
        <v>2200</v>
      </c>
      <c r="K11" s="40">
        <f t="shared" si="17"/>
        <v>1674.7</v>
      </c>
      <c r="L11" s="40">
        <f t="shared" si="17"/>
        <v>1684.8</v>
      </c>
      <c r="M11" s="41">
        <f t="shared" si="17"/>
        <v>1509.3</v>
      </c>
      <c r="N11" s="39">
        <f t="shared" si="17"/>
        <v>1526.2</v>
      </c>
      <c r="O11" s="40">
        <f t="shared" si="17"/>
        <v>1383.1</v>
      </c>
      <c r="P11" s="40">
        <f t="shared" si="17"/>
        <v>2799.7999999999997</v>
      </c>
      <c r="Q11" s="41">
        <f t="shared" si="17"/>
        <v>1696.9</v>
      </c>
      <c r="R11" s="39">
        <f t="shared" si="17"/>
        <v>1789.4</v>
      </c>
      <c r="S11" s="40">
        <f t="shared" si="17"/>
        <v>1639.5000000000002</v>
      </c>
      <c r="T11" s="40">
        <f t="shared" si="17"/>
        <v>2225.2999999999997</v>
      </c>
      <c r="U11" s="41">
        <f t="shared" si="17"/>
        <v>2104.7</v>
      </c>
      <c r="V11" s="39">
        <f t="shared" si="17"/>
        <v>1681.9</v>
      </c>
      <c r="W11" s="40">
        <f t="shared" si="17"/>
        <v>1644.6000000000001</v>
      </c>
      <c r="X11" s="40">
        <f aca="true" t="shared" si="18" ref="X11:AC11">SUM(X41)</f>
        <v>1633.8</v>
      </c>
      <c r="Y11" s="40">
        <f t="shared" si="18"/>
        <v>2102.6</v>
      </c>
      <c r="Z11" s="39">
        <f t="shared" si="18"/>
        <v>1936.6</v>
      </c>
      <c r="AA11" s="40">
        <f t="shared" si="18"/>
        <v>1985.8000000000002</v>
      </c>
      <c r="AB11" s="40">
        <f t="shared" si="18"/>
        <v>1946.5000000000002</v>
      </c>
      <c r="AC11" s="41">
        <f t="shared" si="18"/>
        <v>2100.4</v>
      </c>
      <c r="AD11" s="40">
        <f aca="true" t="shared" si="19" ref="AD11:AI11">SUM(AD41)</f>
        <v>2022.7</v>
      </c>
      <c r="AE11" s="40">
        <f t="shared" si="19"/>
        <v>1921.3</v>
      </c>
      <c r="AF11" s="40">
        <f t="shared" si="19"/>
        <v>1944.1</v>
      </c>
      <c r="AG11" s="41">
        <f t="shared" si="19"/>
        <v>1875.8</v>
      </c>
      <c r="AH11" s="40">
        <f t="shared" si="19"/>
        <v>1954.6</v>
      </c>
      <c r="AI11" s="40">
        <f t="shared" si="19"/>
        <v>1724.4</v>
      </c>
      <c r="AJ11" s="40">
        <f aca="true" t="shared" si="20" ref="AJ11:AQ11">SUM(AJ41)</f>
        <v>1787.4</v>
      </c>
      <c r="AK11" s="41">
        <f t="shared" si="20"/>
        <v>1631.9</v>
      </c>
      <c r="AL11" s="40">
        <f t="shared" si="20"/>
        <v>1797.7999999999997</v>
      </c>
      <c r="AM11" s="40">
        <f t="shared" si="20"/>
        <v>2261.3999999999996</v>
      </c>
      <c r="AN11" s="40">
        <f t="shared" si="20"/>
        <v>1956.7999999999997</v>
      </c>
      <c r="AO11" s="41">
        <f t="shared" si="20"/>
        <v>1751</v>
      </c>
      <c r="AP11" s="40">
        <f t="shared" si="20"/>
        <v>2580.4</v>
      </c>
      <c r="AQ11" s="40">
        <f t="shared" si="20"/>
        <v>1763.1000000000001</v>
      </c>
    </row>
    <row r="12" spans="1:43" ht="12.75">
      <c r="A12" s="115"/>
      <c r="B12" s="39"/>
      <c r="C12" s="40"/>
      <c r="D12" s="40"/>
      <c r="E12" s="40"/>
      <c r="F12" s="39"/>
      <c r="G12" s="40"/>
      <c r="H12" s="40"/>
      <c r="I12" s="41"/>
      <c r="J12" s="39"/>
      <c r="K12" s="40"/>
      <c r="L12" s="40"/>
      <c r="M12" s="41"/>
      <c r="N12" s="39"/>
      <c r="O12" s="40"/>
      <c r="P12" s="40"/>
      <c r="Q12" s="41"/>
      <c r="R12" s="39"/>
      <c r="S12" s="40"/>
      <c r="T12" s="40"/>
      <c r="U12" s="41"/>
      <c r="V12" s="39"/>
      <c r="W12" s="40"/>
      <c r="X12" s="40"/>
      <c r="Y12" s="40"/>
      <c r="Z12" s="39"/>
      <c r="AA12" s="40"/>
      <c r="AB12" s="40"/>
      <c r="AC12" s="41"/>
      <c r="AD12" s="40"/>
      <c r="AE12" s="40"/>
      <c r="AF12" s="40"/>
      <c r="AG12" s="41"/>
      <c r="AH12" s="40"/>
      <c r="AI12" s="40"/>
      <c r="AJ12" s="40"/>
      <c r="AK12" s="41"/>
      <c r="AL12" s="40"/>
      <c r="AM12" s="40"/>
      <c r="AN12" s="40"/>
      <c r="AO12" s="41"/>
      <c r="AP12" s="40"/>
      <c r="AQ12" s="40"/>
    </row>
    <row r="13" spans="1:43" s="206" customFormat="1" ht="24">
      <c r="A13" s="11" t="s">
        <v>159</v>
      </c>
      <c r="B13" s="195"/>
      <c r="C13" s="196"/>
      <c r="D13" s="196"/>
      <c r="E13" s="196"/>
      <c r="F13" s="195"/>
      <c r="G13" s="196"/>
      <c r="H13" s="196"/>
      <c r="I13" s="197"/>
      <c r="J13" s="195"/>
      <c r="K13" s="196"/>
      <c r="L13" s="196"/>
      <c r="M13" s="197"/>
      <c r="N13" s="195"/>
      <c r="O13" s="196"/>
      <c r="P13" s="196"/>
      <c r="Q13" s="197"/>
      <c r="R13" s="195"/>
      <c r="S13" s="196"/>
      <c r="T13" s="196"/>
      <c r="U13" s="197"/>
      <c r="V13" s="195"/>
      <c r="W13" s="196"/>
      <c r="X13" s="196"/>
      <c r="Y13" s="196"/>
      <c r="Z13" s="195"/>
      <c r="AA13" s="196"/>
      <c r="AB13" s="196"/>
      <c r="AC13" s="197"/>
      <c r="AD13" s="196"/>
      <c r="AE13" s="196"/>
      <c r="AF13" s="196"/>
      <c r="AG13" s="197"/>
      <c r="AH13" s="196"/>
      <c r="AI13" s="196"/>
      <c r="AJ13" s="196"/>
      <c r="AK13" s="197"/>
      <c r="AL13" s="196"/>
      <c r="AM13" s="196"/>
      <c r="AN13" s="196"/>
      <c r="AO13" s="197"/>
      <c r="AP13" s="196"/>
      <c r="AQ13" s="196"/>
    </row>
    <row r="14" spans="1:43" s="9" customFormat="1" ht="6" customHeight="1">
      <c r="A14" s="89"/>
      <c r="B14" s="39"/>
      <c r="C14" s="40"/>
      <c r="D14" s="40"/>
      <c r="E14" s="40"/>
      <c r="F14" s="39"/>
      <c r="G14" s="40"/>
      <c r="H14" s="40"/>
      <c r="I14" s="41"/>
      <c r="J14" s="39"/>
      <c r="K14" s="40"/>
      <c r="L14" s="40"/>
      <c r="M14" s="41"/>
      <c r="N14" s="39"/>
      <c r="O14" s="40"/>
      <c r="P14" s="40"/>
      <c r="Q14" s="41"/>
      <c r="R14" s="39"/>
      <c r="S14" s="40"/>
      <c r="T14" s="40"/>
      <c r="U14" s="41"/>
      <c r="V14" s="39"/>
      <c r="W14" s="40"/>
      <c r="X14" s="40"/>
      <c r="Y14" s="40"/>
      <c r="Z14" s="39"/>
      <c r="AA14" s="40"/>
      <c r="AB14" s="40"/>
      <c r="AC14" s="41"/>
      <c r="AD14" s="40"/>
      <c r="AE14" s="40"/>
      <c r="AF14" s="40"/>
      <c r="AG14" s="41"/>
      <c r="AH14" s="40"/>
      <c r="AI14" s="40"/>
      <c r="AJ14" s="40"/>
      <c r="AK14" s="41"/>
      <c r="AL14" s="40"/>
      <c r="AM14" s="40"/>
      <c r="AN14" s="40"/>
      <c r="AO14" s="41"/>
      <c r="AP14" s="40"/>
      <c r="AQ14" s="40"/>
    </row>
    <row r="15" spans="1:43" s="9" customFormat="1" ht="12.75">
      <c r="A15" s="89" t="s">
        <v>156</v>
      </c>
      <c r="B15" s="39">
        <f>SUM(B16:B17)</f>
        <v>2886.5</v>
      </c>
      <c r="C15" s="40">
        <f>SUM(C16:C17)</f>
        <v>2746.2000000000003</v>
      </c>
      <c r="D15" s="40">
        <f>SUM(D16:D17)</f>
        <v>2399.7</v>
      </c>
      <c r="E15" s="40">
        <f>SUM(E16:E17)</f>
        <v>2226.7</v>
      </c>
      <c r="F15" s="39">
        <f aca="true" t="shared" si="21" ref="F15:W15">SUM(F16:F17)</f>
        <v>2414.1</v>
      </c>
      <c r="G15" s="40">
        <f t="shared" si="21"/>
        <v>3649</v>
      </c>
      <c r="H15" s="40">
        <f t="shared" si="21"/>
        <v>3265.5</v>
      </c>
      <c r="I15" s="41">
        <f t="shared" si="21"/>
        <v>4312.3</v>
      </c>
      <c r="J15" s="39">
        <f t="shared" si="21"/>
        <v>4862.8</v>
      </c>
      <c r="K15" s="40">
        <f t="shared" si="21"/>
        <v>4011.1</v>
      </c>
      <c r="L15" s="40">
        <f t="shared" si="21"/>
        <v>4210.3</v>
      </c>
      <c r="M15" s="41">
        <f t="shared" si="21"/>
        <v>3352.3999999999996</v>
      </c>
      <c r="N15" s="39">
        <f t="shared" si="21"/>
        <v>3046.8</v>
      </c>
      <c r="O15" s="40">
        <f t="shared" si="21"/>
        <v>3804.6000000000004</v>
      </c>
      <c r="P15" s="40">
        <f t="shared" si="21"/>
        <v>3210.7</v>
      </c>
      <c r="Q15" s="41">
        <f t="shared" si="21"/>
        <v>2588.6</v>
      </c>
      <c r="R15" s="39">
        <f t="shared" si="21"/>
        <v>2667</v>
      </c>
      <c r="S15" s="40">
        <f t="shared" si="21"/>
        <v>2662.3</v>
      </c>
      <c r="T15" s="40">
        <f t="shared" si="21"/>
        <v>2328.4</v>
      </c>
      <c r="U15" s="41">
        <f t="shared" si="21"/>
        <v>2954.5</v>
      </c>
      <c r="V15" s="39">
        <f t="shared" si="21"/>
        <v>2977.7</v>
      </c>
      <c r="W15" s="40">
        <f t="shared" si="21"/>
        <v>3602.9</v>
      </c>
      <c r="X15" s="40">
        <f aca="true" t="shared" si="22" ref="X15:AC15">SUM(X16:X17)</f>
        <v>3077.2</v>
      </c>
      <c r="Y15" s="40">
        <f t="shared" si="22"/>
        <v>3367.9999999999995</v>
      </c>
      <c r="Z15" s="39">
        <f t="shared" si="22"/>
        <v>2323</v>
      </c>
      <c r="AA15" s="40">
        <f t="shared" si="22"/>
        <v>2659.2</v>
      </c>
      <c r="AB15" s="40">
        <f t="shared" si="22"/>
        <v>3656.4000000000005</v>
      </c>
      <c r="AC15" s="41">
        <f t="shared" si="22"/>
        <v>3143.1</v>
      </c>
      <c r="AD15" s="40">
        <f aca="true" t="shared" si="23" ref="AD15:AI15">SUM(AD16:AD17)</f>
        <v>2252</v>
      </c>
      <c r="AE15" s="40">
        <f t="shared" si="23"/>
        <v>2442.9</v>
      </c>
      <c r="AF15" s="40">
        <f t="shared" si="23"/>
        <v>2842.7</v>
      </c>
      <c r="AG15" s="41">
        <f t="shared" si="23"/>
        <v>2142.7999999999997</v>
      </c>
      <c r="AH15" s="40">
        <f t="shared" si="23"/>
        <v>2367.5</v>
      </c>
      <c r="AI15" s="40">
        <f t="shared" si="23"/>
        <v>1957.9</v>
      </c>
      <c r="AJ15" s="40">
        <f aca="true" t="shared" si="24" ref="AJ15:AQ15">SUM(AJ16:AJ17)</f>
        <v>2630.9</v>
      </c>
      <c r="AK15" s="41">
        <f t="shared" si="24"/>
        <v>2353.8</v>
      </c>
      <c r="AL15" s="40">
        <f t="shared" si="24"/>
        <v>2469</v>
      </c>
      <c r="AM15" s="40">
        <f t="shared" si="24"/>
        <v>2661.1</v>
      </c>
      <c r="AN15" s="40">
        <f t="shared" si="24"/>
        <v>2700.8</v>
      </c>
      <c r="AO15" s="41">
        <f t="shared" si="24"/>
        <v>3429.2000000000003</v>
      </c>
      <c r="AP15" s="40">
        <f t="shared" si="24"/>
        <v>2847.6</v>
      </c>
      <c r="AQ15" s="40">
        <f t="shared" si="24"/>
        <v>4044.7</v>
      </c>
    </row>
    <row r="16" spans="1:43" s="66" customFormat="1" ht="12.75">
      <c r="A16" s="105" t="s">
        <v>160</v>
      </c>
      <c r="B16" s="57">
        <v>2550.4</v>
      </c>
      <c r="C16" s="58">
        <v>2099.3</v>
      </c>
      <c r="D16" s="58">
        <v>1707.7</v>
      </c>
      <c r="E16" s="58">
        <v>1229.8</v>
      </c>
      <c r="F16" s="57">
        <v>1477.4</v>
      </c>
      <c r="G16" s="58">
        <v>2129.1</v>
      </c>
      <c r="H16" s="58">
        <v>1801.3999999999999</v>
      </c>
      <c r="I16" s="59">
        <v>1312.8999999999999</v>
      </c>
      <c r="J16" s="57">
        <v>1547.4</v>
      </c>
      <c r="K16" s="58">
        <v>1840.5</v>
      </c>
      <c r="L16" s="58">
        <v>1702.5</v>
      </c>
      <c r="M16" s="59">
        <v>1727.1</v>
      </c>
      <c r="N16" s="57">
        <v>1598.7</v>
      </c>
      <c r="O16" s="58">
        <v>1886.1000000000001</v>
      </c>
      <c r="P16" s="58">
        <v>1647.9</v>
      </c>
      <c r="Q16" s="59">
        <v>1461.7</v>
      </c>
      <c r="R16" s="57">
        <v>1435.6</v>
      </c>
      <c r="S16" s="58">
        <v>1731.5</v>
      </c>
      <c r="T16" s="58">
        <v>1409</v>
      </c>
      <c r="U16" s="59">
        <v>1266</v>
      </c>
      <c r="V16" s="57">
        <v>1735</v>
      </c>
      <c r="W16" s="58">
        <v>2478.4</v>
      </c>
      <c r="X16" s="58">
        <v>2556.1</v>
      </c>
      <c r="Y16" s="58">
        <v>2333.2999999999997</v>
      </c>
      <c r="Z16" s="57">
        <v>1517.1000000000001</v>
      </c>
      <c r="AA16" s="58">
        <v>1738.6</v>
      </c>
      <c r="AB16" s="58">
        <v>2781.1000000000004</v>
      </c>
      <c r="AC16" s="59">
        <v>2211.2</v>
      </c>
      <c r="AD16" s="58">
        <v>1646.4</v>
      </c>
      <c r="AE16" s="58">
        <v>1999.6</v>
      </c>
      <c r="AF16" s="58">
        <v>2145.7999999999997</v>
      </c>
      <c r="AG16" s="59">
        <v>1707.6</v>
      </c>
      <c r="AH16" s="58">
        <v>1850.4</v>
      </c>
      <c r="AI16" s="58">
        <v>1931.9</v>
      </c>
      <c r="AJ16" s="58">
        <v>2515.6</v>
      </c>
      <c r="AK16" s="59">
        <v>2272.3</v>
      </c>
      <c r="AL16" s="58">
        <v>2393.6</v>
      </c>
      <c r="AM16" s="58">
        <v>2536.2</v>
      </c>
      <c r="AN16" s="58">
        <v>2241.3</v>
      </c>
      <c r="AO16" s="59">
        <v>3233.8</v>
      </c>
      <c r="AP16" s="58">
        <v>2709.1</v>
      </c>
      <c r="AQ16" s="58">
        <v>3944</v>
      </c>
    </row>
    <row r="17" spans="1:43" s="66" customFormat="1" ht="12.75">
      <c r="A17" s="105" t="s">
        <v>218</v>
      </c>
      <c r="B17" s="57">
        <f>332.4+3.7</f>
        <v>336.09999999999997</v>
      </c>
      <c r="C17" s="58">
        <f>645+1.9</f>
        <v>646.9</v>
      </c>
      <c r="D17" s="58">
        <f>690.4+1.6</f>
        <v>692</v>
      </c>
      <c r="E17" s="58">
        <v>996.9</v>
      </c>
      <c r="F17" s="57">
        <v>936.6999999999999</v>
      </c>
      <c r="G17" s="58">
        <v>1519.8999999999999</v>
      </c>
      <c r="H17" s="58">
        <v>1464.1</v>
      </c>
      <c r="I17" s="59">
        <v>2999.4</v>
      </c>
      <c r="J17" s="57">
        <v>3315.4</v>
      </c>
      <c r="K17" s="58">
        <v>2170.6</v>
      </c>
      <c r="L17" s="58">
        <v>2507.8</v>
      </c>
      <c r="M17" s="59">
        <v>1625.3</v>
      </c>
      <c r="N17" s="57">
        <v>1448.1000000000001</v>
      </c>
      <c r="O17" s="58">
        <v>1918.5</v>
      </c>
      <c r="P17" s="58">
        <v>1562.8</v>
      </c>
      <c r="Q17" s="59">
        <v>1126.8999999999999</v>
      </c>
      <c r="R17" s="57">
        <v>1231.4</v>
      </c>
      <c r="S17" s="58">
        <v>930.8000000000001</v>
      </c>
      <c r="T17" s="58">
        <v>919.4</v>
      </c>
      <c r="U17" s="59">
        <v>1688.5</v>
      </c>
      <c r="V17" s="57">
        <v>1242.6999999999998</v>
      </c>
      <c r="W17" s="58">
        <v>1124.5</v>
      </c>
      <c r="X17" s="58">
        <v>521.0999999999999</v>
      </c>
      <c r="Y17" s="58">
        <v>1034.6999999999998</v>
      </c>
      <c r="Z17" s="57">
        <v>805.9</v>
      </c>
      <c r="AA17" s="58">
        <v>920.6</v>
      </c>
      <c r="AB17" s="58">
        <v>875.3</v>
      </c>
      <c r="AC17" s="59">
        <v>931.9</v>
      </c>
      <c r="AD17" s="58">
        <v>605.6</v>
      </c>
      <c r="AE17" s="58">
        <v>443.3</v>
      </c>
      <c r="AF17" s="58">
        <v>696.9000000000001</v>
      </c>
      <c r="AG17" s="59">
        <v>435.2</v>
      </c>
      <c r="AH17" s="58">
        <v>517.1</v>
      </c>
      <c r="AI17" s="58">
        <v>26</v>
      </c>
      <c r="AJ17" s="58">
        <v>115.3</v>
      </c>
      <c r="AK17" s="59">
        <v>81.5</v>
      </c>
      <c r="AL17" s="58">
        <v>75.4</v>
      </c>
      <c r="AM17" s="58">
        <v>124.9</v>
      </c>
      <c r="AN17" s="58">
        <v>459.5</v>
      </c>
      <c r="AO17" s="59">
        <v>195.4</v>
      </c>
      <c r="AP17" s="58">
        <v>138.5</v>
      </c>
      <c r="AQ17" s="58">
        <v>100.7</v>
      </c>
    </row>
    <row r="18" spans="1:43" s="4" customFormat="1" ht="12.75">
      <c r="A18" s="306" t="s">
        <v>157</v>
      </c>
      <c r="B18" s="39">
        <v>111</v>
      </c>
      <c r="C18" s="40">
        <v>71.9</v>
      </c>
      <c r="D18" s="40">
        <f>50.2</f>
        <v>50.2</v>
      </c>
      <c r="E18" s="40">
        <v>115.5</v>
      </c>
      <c r="F18" s="39">
        <v>84.5</v>
      </c>
      <c r="G18" s="40">
        <v>153.2</v>
      </c>
      <c r="H18" s="40">
        <v>85.5</v>
      </c>
      <c r="I18" s="41">
        <v>84.10000000000001</v>
      </c>
      <c r="J18" s="39">
        <v>127.9</v>
      </c>
      <c r="K18" s="40">
        <v>141.39999999999998</v>
      </c>
      <c r="L18" s="40">
        <v>116.7</v>
      </c>
      <c r="M18" s="41">
        <v>93.10000000000001</v>
      </c>
      <c r="N18" s="39">
        <v>100.9</v>
      </c>
      <c r="O18" s="40">
        <v>158.1</v>
      </c>
      <c r="P18" s="40">
        <v>108.8</v>
      </c>
      <c r="Q18" s="41">
        <v>137.4</v>
      </c>
      <c r="R18" s="39">
        <v>107.39999999999999</v>
      </c>
      <c r="S18" s="40">
        <v>109.89999999999999</v>
      </c>
      <c r="T18" s="40">
        <v>112.1</v>
      </c>
      <c r="U18" s="41">
        <v>56.2</v>
      </c>
      <c r="V18" s="39">
        <v>127</v>
      </c>
      <c r="W18" s="40">
        <v>116.5</v>
      </c>
      <c r="X18" s="40">
        <v>131.79999999999998</v>
      </c>
      <c r="Y18" s="40">
        <v>176.7</v>
      </c>
      <c r="Z18" s="39">
        <v>117.69999999999999</v>
      </c>
      <c r="AA18" s="40">
        <v>103.8</v>
      </c>
      <c r="AB18" s="40">
        <v>218.29999999999998</v>
      </c>
      <c r="AC18" s="41">
        <v>73.1</v>
      </c>
      <c r="AD18" s="40">
        <v>140.29999999999998</v>
      </c>
      <c r="AE18" s="40">
        <v>198.6</v>
      </c>
      <c r="AF18" s="40">
        <v>79.1</v>
      </c>
      <c r="AG18" s="41">
        <v>101</v>
      </c>
      <c r="AH18" s="40">
        <v>58.8</v>
      </c>
      <c r="AI18" s="40">
        <v>125.80000000000001</v>
      </c>
      <c r="AJ18" s="40">
        <v>58.8</v>
      </c>
      <c r="AK18" s="41">
        <v>63.5</v>
      </c>
      <c r="AL18" s="40">
        <v>58.9</v>
      </c>
      <c r="AM18" s="40">
        <v>39</v>
      </c>
      <c r="AN18" s="40">
        <v>74.7</v>
      </c>
      <c r="AO18" s="41">
        <v>188.7</v>
      </c>
      <c r="AP18" s="40">
        <v>110</v>
      </c>
      <c r="AQ18" s="40">
        <v>70.8</v>
      </c>
    </row>
    <row r="19" spans="1:43" s="13" customFormat="1" ht="12.75">
      <c r="A19" s="98" t="s">
        <v>161</v>
      </c>
      <c r="B19" s="93">
        <f aca="true" t="shared" si="25" ref="B19:Z19">B15+B18</f>
        <v>2997.5</v>
      </c>
      <c r="C19" s="94">
        <f t="shared" si="25"/>
        <v>2818.1000000000004</v>
      </c>
      <c r="D19" s="94">
        <f t="shared" si="25"/>
        <v>2449.8999999999996</v>
      </c>
      <c r="E19" s="94">
        <f t="shared" si="25"/>
        <v>2342.2</v>
      </c>
      <c r="F19" s="93">
        <f t="shared" si="25"/>
        <v>2498.6</v>
      </c>
      <c r="G19" s="94">
        <f t="shared" si="25"/>
        <v>3802.2</v>
      </c>
      <c r="H19" s="94">
        <f t="shared" si="25"/>
        <v>3351</v>
      </c>
      <c r="I19" s="95">
        <f t="shared" si="25"/>
        <v>4396.400000000001</v>
      </c>
      <c r="J19" s="93">
        <f t="shared" si="25"/>
        <v>4990.7</v>
      </c>
      <c r="K19" s="94">
        <f t="shared" si="25"/>
        <v>4152.5</v>
      </c>
      <c r="L19" s="94">
        <f t="shared" si="25"/>
        <v>4327</v>
      </c>
      <c r="M19" s="95">
        <f t="shared" si="25"/>
        <v>3445.4999999999995</v>
      </c>
      <c r="N19" s="93">
        <f t="shared" si="25"/>
        <v>3147.7000000000003</v>
      </c>
      <c r="O19" s="94">
        <f t="shared" si="25"/>
        <v>3962.7000000000003</v>
      </c>
      <c r="P19" s="94">
        <f t="shared" si="25"/>
        <v>3319.5</v>
      </c>
      <c r="Q19" s="95">
        <f t="shared" si="25"/>
        <v>2726</v>
      </c>
      <c r="R19" s="93">
        <f t="shared" si="25"/>
        <v>2774.4</v>
      </c>
      <c r="S19" s="94">
        <f t="shared" si="25"/>
        <v>2772.2000000000003</v>
      </c>
      <c r="T19" s="94">
        <f t="shared" si="25"/>
        <v>2440.5</v>
      </c>
      <c r="U19" s="95">
        <f t="shared" si="25"/>
        <v>3010.7</v>
      </c>
      <c r="V19" s="93">
        <f t="shared" si="25"/>
        <v>3104.7</v>
      </c>
      <c r="W19" s="94">
        <f t="shared" si="25"/>
        <v>3719.4</v>
      </c>
      <c r="X19" s="94">
        <f t="shared" si="25"/>
        <v>3209</v>
      </c>
      <c r="Y19" s="94">
        <f t="shared" si="25"/>
        <v>3544.6999999999994</v>
      </c>
      <c r="Z19" s="93">
        <f t="shared" si="25"/>
        <v>2440.7</v>
      </c>
      <c r="AA19" s="94">
        <f aca="true" t="shared" si="26" ref="AA19:AF19">AA15+AA18</f>
        <v>2763</v>
      </c>
      <c r="AB19" s="94">
        <f t="shared" si="26"/>
        <v>3874.7000000000007</v>
      </c>
      <c r="AC19" s="95">
        <f t="shared" si="26"/>
        <v>3216.2</v>
      </c>
      <c r="AD19" s="94">
        <f t="shared" si="26"/>
        <v>2392.3</v>
      </c>
      <c r="AE19" s="94">
        <f t="shared" si="26"/>
        <v>2641.5</v>
      </c>
      <c r="AF19" s="94">
        <f t="shared" si="26"/>
        <v>2921.7999999999997</v>
      </c>
      <c r="AG19" s="95">
        <f aca="true" t="shared" si="27" ref="AG19:AL19">AG15+AG18</f>
        <v>2243.7999999999997</v>
      </c>
      <c r="AH19" s="94">
        <f t="shared" si="27"/>
        <v>2426.3</v>
      </c>
      <c r="AI19" s="94">
        <f t="shared" si="27"/>
        <v>2083.7000000000003</v>
      </c>
      <c r="AJ19" s="94">
        <f t="shared" si="27"/>
        <v>2689.7000000000003</v>
      </c>
      <c r="AK19" s="95">
        <f t="shared" si="27"/>
        <v>2417.3</v>
      </c>
      <c r="AL19" s="94">
        <f t="shared" si="27"/>
        <v>2527.9</v>
      </c>
      <c r="AM19" s="94">
        <f>AM15+AM18</f>
        <v>2700.1</v>
      </c>
      <c r="AN19" s="94">
        <f>AN15+AN18</f>
        <v>2775.5</v>
      </c>
      <c r="AO19" s="95">
        <f>AO15+AO18</f>
        <v>3617.9</v>
      </c>
      <c r="AP19" s="94">
        <f>AP15+AP18</f>
        <v>2957.6</v>
      </c>
      <c r="AQ19" s="94">
        <f>AQ15+AQ18</f>
        <v>4115.5</v>
      </c>
    </row>
    <row r="20" spans="1:43" ht="12.75">
      <c r="A20" s="115"/>
      <c r="B20" s="39"/>
      <c r="C20" s="40"/>
      <c r="D20" s="40"/>
      <c r="E20" s="40"/>
      <c r="F20" s="39"/>
      <c r="G20" s="40"/>
      <c r="H20" s="40"/>
      <c r="I20" s="41"/>
      <c r="J20" s="39"/>
      <c r="K20" s="40"/>
      <c r="L20" s="40"/>
      <c r="M20" s="41"/>
      <c r="N20" s="39"/>
      <c r="O20" s="40"/>
      <c r="P20" s="40"/>
      <c r="Q20" s="41"/>
      <c r="R20" s="39"/>
      <c r="S20" s="40"/>
      <c r="T20" s="40"/>
      <c r="U20" s="41"/>
      <c r="V20" s="39"/>
      <c r="W20" s="40"/>
      <c r="X20" s="40"/>
      <c r="Y20" s="40"/>
      <c r="Z20" s="39"/>
      <c r="AA20" s="40"/>
      <c r="AB20" s="40"/>
      <c r="AC20" s="41"/>
      <c r="AD20" s="40"/>
      <c r="AE20" s="40"/>
      <c r="AF20" s="40"/>
      <c r="AG20" s="41"/>
      <c r="AH20" s="40"/>
      <c r="AI20" s="40"/>
      <c r="AJ20" s="40"/>
      <c r="AK20" s="41"/>
      <c r="AL20" s="40"/>
      <c r="AM20" s="40"/>
      <c r="AN20" s="40"/>
      <c r="AO20" s="41"/>
      <c r="AP20" s="40"/>
      <c r="AQ20" s="40"/>
    </row>
    <row r="21" spans="1:43" s="206" customFormat="1" ht="12">
      <c r="A21" s="11" t="s">
        <v>162</v>
      </c>
      <c r="B21" s="195"/>
      <c r="C21" s="196"/>
      <c r="D21" s="196"/>
      <c r="E21" s="196"/>
      <c r="F21" s="195"/>
      <c r="G21" s="196"/>
      <c r="H21" s="196"/>
      <c r="I21" s="197"/>
      <c r="J21" s="195"/>
      <c r="K21" s="196"/>
      <c r="L21" s="196"/>
      <c r="M21" s="197"/>
      <c r="N21" s="195"/>
      <c r="O21" s="196"/>
      <c r="P21" s="196"/>
      <c r="Q21" s="197"/>
      <c r="R21" s="195"/>
      <c r="S21" s="196"/>
      <c r="T21" s="196"/>
      <c r="U21" s="197"/>
      <c r="V21" s="195"/>
      <c r="W21" s="196"/>
      <c r="X21" s="196"/>
      <c r="Y21" s="196"/>
      <c r="Z21" s="195"/>
      <c r="AA21" s="196"/>
      <c r="AB21" s="196"/>
      <c r="AC21" s="197"/>
      <c r="AD21" s="196"/>
      <c r="AE21" s="196"/>
      <c r="AF21" s="196"/>
      <c r="AG21" s="197"/>
      <c r="AH21" s="196"/>
      <c r="AI21" s="196"/>
      <c r="AJ21" s="196"/>
      <c r="AK21" s="197"/>
      <c r="AL21" s="196"/>
      <c r="AM21" s="196"/>
      <c r="AN21" s="196"/>
      <c r="AO21" s="197"/>
      <c r="AP21" s="196"/>
      <c r="AQ21" s="196"/>
    </row>
    <row r="22" spans="1:43" s="9" customFormat="1" ht="12.75">
      <c r="A22" s="89"/>
      <c r="B22" s="39"/>
      <c r="C22" s="40"/>
      <c r="D22" s="40"/>
      <c r="E22" s="40"/>
      <c r="F22" s="39"/>
      <c r="G22" s="40"/>
      <c r="H22" s="40"/>
      <c r="I22" s="41"/>
      <c r="J22" s="39"/>
      <c r="K22" s="40"/>
      <c r="L22" s="40"/>
      <c r="M22" s="41"/>
      <c r="N22" s="39"/>
      <c r="O22" s="40"/>
      <c r="P22" s="40"/>
      <c r="Q22" s="41"/>
      <c r="R22" s="39"/>
      <c r="S22" s="40"/>
      <c r="T22" s="40"/>
      <c r="U22" s="41"/>
      <c r="V22" s="39"/>
      <c r="W22" s="40"/>
      <c r="X22" s="40"/>
      <c r="Y22" s="40"/>
      <c r="Z22" s="39"/>
      <c r="AA22" s="40"/>
      <c r="AB22" s="40"/>
      <c r="AC22" s="41"/>
      <c r="AD22" s="40"/>
      <c r="AE22" s="40"/>
      <c r="AF22" s="40"/>
      <c r="AG22" s="41"/>
      <c r="AH22" s="40"/>
      <c r="AI22" s="40"/>
      <c r="AJ22" s="40"/>
      <c r="AK22" s="41"/>
      <c r="AL22" s="40"/>
      <c r="AM22" s="40"/>
      <c r="AN22" s="40"/>
      <c r="AO22" s="41"/>
      <c r="AP22" s="40"/>
      <c r="AQ22" s="40"/>
    </row>
    <row r="23" spans="1:43" s="9" customFormat="1" ht="12.75">
      <c r="A23" s="97" t="s">
        <v>293</v>
      </c>
      <c r="B23" s="46">
        <f aca="true" t="shared" si="28" ref="B23:AE23">SUM(B27,B24)</f>
        <v>10876.6</v>
      </c>
      <c r="C23" s="47">
        <f t="shared" si="28"/>
        <v>10972.900000000001</v>
      </c>
      <c r="D23" s="47">
        <f t="shared" si="28"/>
        <v>11286.9</v>
      </c>
      <c r="E23" s="47">
        <f t="shared" si="28"/>
        <v>13085.8</v>
      </c>
      <c r="F23" s="46">
        <f t="shared" si="28"/>
        <v>12080.900000000001</v>
      </c>
      <c r="G23" s="47">
        <f t="shared" si="28"/>
        <v>12392.6</v>
      </c>
      <c r="H23" s="47">
        <f t="shared" si="28"/>
        <v>12806.800000000001</v>
      </c>
      <c r="I23" s="48">
        <f t="shared" si="28"/>
        <v>11600</v>
      </c>
      <c r="J23" s="46">
        <f t="shared" si="28"/>
        <v>10613.1</v>
      </c>
      <c r="K23" s="47">
        <f t="shared" si="28"/>
        <v>10476.8</v>
      </c>
      <c r="L23" s="47">
        <f t="shared" si="28"/>
        <v>11467.800000000001</v>
      </c>
      <c r="M23" s="48">
        <f t="shared" si="28"/>
        <v>12260.400000000001</v>
      </c>
      <c r="N23" s="46">
        <f t="shared" si="28"/>
        <v>12097.1</v>
      </c>
      <c r="O23" s="47">
        <f t="shared" si="28"/>
        <v>11531.400000000001</v>
      </c>
      <c r="P23" s="47">
        <f t="shared" si="28"/>
        <v>11952.799999999997</v>
      </c>
      <c r="Q23" s="48">
        <f t="shared" si="28"/>
        <v>12858.099999999999</v>
      </c>
      <c r="R23" s="46">
        <f t="shared" si="28"/>
        <v>11553.1</v>
      </c>
      <c r="S23" s="47">
        <f t="shared" si="28"/>
        <v>12538.5</v>
      </c>
      <c r="T23" s="47">
        <f t="shared" si="28"/>
        <v>13579.2</v>
      </c>
      <c r="U23" s="48">
        <f t="shared" si="28"/>
        <v>14263.400000000001</v>
      </c>
      <c r="V23" s="46">
        <f t="shared" si="28"/>
        <v>13893.2</v>
      </c>
      <c r="W23" s="47">
        <f t="shared" si="28"/>
        <v>13569.4</v>
      </c>
      <c r="X23" s="47">
        <f t="shared" si="28"/>
        <v>13912</v>
      </c>
      <c r="Y23" s="47">
        <f t="shared" si="28"/>
        <v>14567.4</v>
      </c>
      <c r="Z23" s="46">
        <f t="shared" si="28"/>
        <v>14314.4</v>
      </c>
      <c r="AA23" s="47">
        <f t="shared" si="28"/>
        <v>16619</v>
      </c>
      <c r="AB23" s="47">
        <f t="shared" si="28"/>
        <v>17472.3</v>
      </c>
      <c r="AC23" s="48">
        <f t="shared" si="28"/>
        <v>18602.399999999998</v>
      </c>
      <c r="AD23" s="47">
        <f t="shared" si="28"/>
        <v>17512.6</v>
      </c>
      <c r="AE23" s="47">
        <f t="shared" si="28"/>
        <v>19136.700000000004</v>
      </c>
      <c r="AF23" s="47">
        <f aca="true" t="shared" si="29" ref="AF23:AK23">SUM(AF27,AF24)</f>
        <v>19702.2</v>
      </c>
      <c r="AG23" s="48">
        <f t="shared" si="29"/>
        <v>21260.500000000004</v>
      </c>
      <c r="AH23" s="47">
        <f t="shared" si="29"/>
        <v>20717.899999999998</v>
      </c>
      <c r="AI23" s="47">
        <f t="shared" si="29"/>
        <v>22162.2</v>
      </c>
      <c r="AJ23" s="47">
        <f t="shared" si="29"/>
        <v>23347.8</v>
      </c>
      <c r="AK23" s="48">
        <f t="shared" si="29"/>
        <v>24792.899999999998</v>
      </c>
      <c r="AL23" s="47">
        <f aca="true" t="shared" si="30" ref="AL23:AQ23">SUM(AL27,AL24)</f>
        <v>24268.7</v>
      </c>
      <c r="AM23" s="47">
        <f t="shared" si="30"/>
        <v>25447.600000000002</v>
      </c>
      <c r="AN23" s="47">
        <f t="shared" si="30"/>
        <v>25975.1</v>
      </c>
      <c r="AO23" s="48">
        <f t="shared" si="30"/>
        <v>26840.9</v>
      </c>
      <c r="AP23" s="47">
        <f t="shared" si="30"/>
        <v>26273.1</v>
      </c>
      <c r="AQ23" s="47">
        <f t="shared" si="30"/>
        <v>26682.8</v>
      </c>
    </row>
    <row r="24" spans="1:43" s="9" customFormat="1" ht="12.75">
      <c r="A24" s="89" t="s">
        <v>308</v>
      </c>
      <c r="B24" s="39">
        <f aca="true" t="shared" si="31" ref="B24:AE24">SUM(B25:B26)</f>
        <v>10570.4</v>
      </c>
      <c r="C24" s="40">
        <f t="shared" si="31"/>
        <v>10703.7</v>
      </c>
      <c r="D24" s="40">
        <f t="shared" si="31"/>
        <v>10969.1</v>
      </c>
      <c r="E24" s="40">
        <f t="shared" si="31"/>
        <v>12760.8</v>
      </c>
      <c r="F24" s="39">
        <f t="shared" si="31"/>
        <v>11704.400000000001</v>
      </c>
      <c r="G24" s="40">
        <f t="shared" si="31"/>
        <v>12007.7</v>
      </c>
      <c r="H24" s="40">
        <f t="shared" si="31"/>
        <v>12316.2</v>
      </c>
      <c r="I24" s="41">
        <f t="shared" si="31"/>
        <v>11173.5</v>
      </c>
      <c r="J24" s="39">
        <f t="shared" si="31"/>
        <v>10094</v>
      </c>
      <c r="K24" s="40">
        <f t="shared" si="31"/>
        <v>9973</v>
      </c>
      <c r="L24" s="40">
        <f t="shared" si="31"/>
        <v>10922.900000000001</v>
      </c>
      <c r="M24" s="41">
        <f t="shared" si="31"/>
        <v>11861.7</v>
      </c>
      <c r="N24" s="39">
        <f t="shared" si="31"/>
        <v>11717.6</v>
      </c>
      <c r="O24" s="40">
        <f t="shared" si="31"/>
        <v>11136.7</v>
      </c>
      <c r="P24" s="40">
        <f t="shared" si="31"/>
        <v>11554.999999999998</v>
      </c>
      <c r="Q24" s="41">
        <f t="shared" si="31"/>
        <v>12483.599999999999</v>
      </c>
      <c r="R24" s="39">
        <f t="shared" si="31"/>
        <v>11140</v>
      </c>
      <c r="S24" s="40">
        <f t="shared" si="31"/>
        <v>12110.7</v>
      </c>
      <c r="T24" s="40">
        <f t="shared" si="31"/>
        <v>13100.1</v>
      </c>
      <c r="U24" s="41">
        <f t="shared" si="31"/>
        <v>13887.300000000001</v>
      </c>
      <c r="V24" s="39">
        <f t="shared" si="31"/>
        <v>13203.2</v>
      </c>
      <c r="W24" s="40">
        <f t="shared" si="31"/>
        <v>12810.1</v>
      </c>
      <c r="X24" s="40">
        <f t="shared" si="31"/>
        <v>13132.6</v>
      </c>
      <c r="Y24" s="40">
        <f t="shared" si="31"/>
        <v>13739.9</v>
      </c>
      <c r="Z24" s="39">
        <f t="shared" si="31"/>
        <v>13459.1</v>
      </c>
      <c r="AA24" s="40">
        <f t="shared" si="31"/>
        <v>15738.599999999999</v>
      </c>
      <c r="AB24" s="40">
        <f t="shared" si="31"/>
        <v>16618.3</v>
      </c>
      <c r="AC24" s="41">
        <f t="shared" si="31"/>
        <v>17746.3</v>
      </c>
      <c r="AD24" s="40">
        <f t="shared" si="31"/>
        <v>16705.3</v>
      </c>
      <c r="AE24" s="40">
        <f t="shared" si="31"/>
        <v>18207.300000000003</v>
      </c>
      <c r="AF24" s="40">
        <f aca="true" t="shared" si="32" ref="AF24:AK24">SUM(AF25:AF26)</f>
        <v>18690.5</v>
      </c>
      <c r="AG24" s="41">
        <f t="shared" si="32"/>
        <v>20177.300000000003</v>
      </c>
      <c r="AH24" s="40">
        <f t="shared" si="32"/>
        <v>19777.6</v>
      </c>
      <c r="AI24" s="40">
        <f t="shared" si="32"/>
        <v>21154.3</v>
      </c>
      <c r="AJ24" s="40">
        <f t="shared" si="32"/>
        <v>22258.5</v>
      </c>
      <c r="AK24" s="41">
        <f t="shared" si="32"/>
        <v>23594.199999999997</v>
      </c>
      <c r="AL24" s="40">
        <f aca="true" t="shared" si="33" ref="AL24:AQ24">SUM(AL25:AL26)</f>
        <v>23122.5</v>
      </c>
      <c r="AM24" s="40">
        <f t="shared" si="33"/>
        <v>23805.9</v>
      </c>
      <c r="AN24" s="40">
        <f t="shared" si="33"/>
        <v>24618.5</v>
      </c>
      <c r="AO24" s="41">
        <f t="shared" si="33"/>
        <v>25395.4</v>
      </c>
      <c r="AP24" s="40">
        <f t="shared" si="33"/>
        <v>24901.1</v>
      </c>
      <c r="AQ24" s="40">
        <f t="shared" si="33"/>
        <v>25099.7</v>
      </c>
    </row>
    <row r="25" spans="1:43" s="66" customFormat="1" ht="12.75">
      <c r="A25" s="105" t="s">
        <v>309</v>
      </c>
      <c r="B25" s="57">
        <v>5611.5</v>
      </c>
      <c r="C25" s="58">
        <v>6202.7</v>
      </c>
      <c r="D25" s="58">
        <v>6353.8</v>
      </c>
      <c r="E25" s="58">
        <v>7970.4</v>
      </c>
      <c r="F25" s="57">
        <v>6808.1</v>
      </c>
      <c r="G25" s="58">
        <v>7124.1</v>
      </c>
      <c r="H25" s="58">
        <v>7482.4</v>
      </c>
      <c r="I25" s="59">
        <v>7292.1</v>
      </c>
      <c r="J25" s="57">
        <v>5979.3</v>
      </c>
      <c r="K25" s="58">
        <v>5985</v>
      </c>
      <c r="L25" s="58">
        <v>6214.700000000001</v>
      </c>
      <c r="M25" s="59">
        <v>6418.5</v>
      </c>
      <c r="N25" s="57">
        <v>7328.5</v>
      </c>
      <c r="O25" s="58">
        <v>6996.5</v>
      </c>
      <c r="P25" s="58">
        <v>7044.199999999999</v>
      </c>
      <c r="Q25" s="59">
        <v>7688.7</v>
      </c>
      <c r="R25" s="57">
        <v>6864.8</v>
      </c>
      <c r="S25" s="58">
        <v>7566.4</v>
      </c>
      <c r="T25" s="58">
        <v>8153</v>
      </c>
      <c r="U25" s="59">
        <v>8842.900000000001</v>
      </c>
      <c r="V25" s="57">
        <v>7619.2</v>
      </c>
      <c r="W25" s="58">
        <v>7487.200000000001</v>
      </c>
      <c r="X25" s="58">
        <v>7733.6</v>
      </c>
      <c r="Y25" s="58">
        <v>8410.4</v>
      </c>
      <c r="Z25" s="57">
        <v>7605.6</v>
      </c>
      <c r="AA25" s="58">
        <v>8979.3</v>
      </c>
      <c r="AB25" s="58">
        <v>10185.599999999999</v>
      </c>
      <c r="AC25" s="59">
        <v>10756.099999999999</v>
      </c>
      <c r="AD25" s="58">
        <v>9393.4</v>
      </c>
      <c r="AE25" s="58">
        <v>10590.6</v>
      </c>
      <c r="AF25" s="58">
        <v>10853.1</v>
      </c>
      <c r="AG25" s="59">
        <v>10641.5</v>
      </c>
      <c r="AH25" s="58">
        <v>10648.5</v>
      </c>
      <c r="AI25" s="58">
        <v>11638.5</v>
      </c>
      <c r="AJ25" s="58">
        <v>12693.5</v>
      </c>
      <c r="AK25" s="59">
        <v>13123.8</v>
      </c>
      <c r="AL25" s="58">
        <v>12346.1</v>
      </c>
      <c r="AM25" s="58">
        <v>12577.6</v>
      </c>
      <c r="AN25" s="58">
        <v>13431.2</v>
      </c>
      <c r="AO25" s="59">
        <v>15542.2</v>
      </c>
      <c r="AP25" s="58">
        <v>15262.4</v>
      </c>
      <c r="AQ25" s="58">
        <v>15951.6</v>
      </c>
    </row>
    <row r="26" spans="1:43" s="66" customFormat="1" ht="12.75">
      <c r="A26" s="105" t="s">
        <v>335</v>
      </c>
      <c r="B26" s="57">
        <v>4958.9</v>
      </c>
      <c r="C26" s="58">
        <v>4501</v>
      </c>
      <c r="D26" s="58">
        <v>4615.3</v>
      </c>
      <c r="E26" s="58">
        <v>4790.4</v>
      </c>
      <c r="F26" s="57">
        <v>4896.3</v>
      </c>
      <c r="G26" s="58">
        <v>4883.6</v>
      </c>
      <c r="H26" s="58">
        <v>4833.8</v>
      </c>
      <c r="I26" s="59">
        <v>3881.4</v>
      </c>
      <c r="J26" s="57">
        <v>4114.7</v>
      </c>
      <c r="K26" s="58">
        <v>3988</v>
      </c>
      <c r="L26" s="58">
        <v>4708.200000000001</v>
      </c>
      <c r="M26" s="59">
        <v>5443.2</v>
      </c>
      <c r="N26" s="57">
        <v>4389.1</v>
      </c>
      <c r="O26" s="58">
        <v>4140.2</v>
      </c>
      <c r="P26" s="58">
        <v>4510.799999999999</v>
      </c>
      <c r="Q26" s="59">
        <v>4794.9</v>
      </c>
      <c r="R26" s="57">
        <v>4275.2</v>
      </c>
      <c r="S26" s="58">
        <v>4544.3</v>
      </c>
      <c r="T26" s="58">
        <v>4947.1</v>
      </c>
      <c r="U26" s="59">
        <v>5044.4</v>
      </c>
      <c r="V26" s="57">
        <v>5584</v>
      </c>
      <c r="W26" s="58">
        <v>5322.9</v>
      </c>
      <c r="X26" s="58">
        <v>5399</v>
      </c>
      <c r="Y26" s="58">
        <v>5329.5</v>
      </c>
      <c r="Z26" s="57">
        <v>5853.5</v>
      </c>
      <c r="AA26" s="58">
        <v>6759.3</v>
      </c>
      <c r="AB26" s="58">
        <v>6432.7</v>
      </c>
      <c r="AC26" s="59">
        <v>6990.200000000001</v>
      </c>
      <c r="AD26" s="58">
        <v>7311.9</v>
      </c>
      <c r="AE26" s="58">
        <v>7616.700000000001</v>
      </c>
      <c r="AF26" s="58">
        <f>5482+2355.4</f>
        <v>7837.4</v>
      </c>
      <c r="AG26" s="59">
        <v>9535.800000000001</v>
      </c>
      <c r="AH26" s="58">
        <v>9129.1</v>
      </c>
      <c r="AI26" s="58">
        <v>9515.8</v>
      </c>
      <c r="AJ26" s="58">
        <v>9565</v>
      </c>
      <c r="AK26" s="59">
        <v>10470.4</v>
      </c>
      <c r="AL26" s="58">
        <v>10776.4</v>
      </c>
      <c r="AM26" s="58">
        <v>11228.3</v>
      </c>
      <c r="AN26" s="58">
        <v>11187.3</v>
      </c>
      <c r="AO26" s="59">
        <f>8414.4+1438.8</f>
        <v>9853.199999999999</v>
      </c>
      <c r="AP26" s="58">
        <f>7932.5+1706.2</f>
        <v>9638.7</v>
      </c>
      <c r="AQ26" s="58">
        <f>7798.7+1349.4</f>
        <v>9148.1</v>
      </c>
    </row>
    <row r="27" spans="1:43" s="9" customFormat="1" ht="12.75">
      <c r="A27" s="89" t="s">
        <v>57</v>
      </c>
      <c r="B27" s="39">
        <v>306.20000000000005</v>
      </c>
      <c r="C27" s="40">
        <v>269.19999999999993</v>
      </c>
      <c r="D27" s="40">
        <v>317.79999999999984</v>
      </c>
      <c r="E27" s="40">
        <v>325</v>
      </c>
      <c r="F27" s="39">
        <v>376.5</v>
      </c>
      <c r="G27" s="40">
        <v>384.9</v>
      </c>
      <c r="H27" s="40">
        <v>490.6</v>
      </c>
      <c r="I27" s="41">
        <v>426.5</v>
      </c>
      <c r="J27" s="39">
        <v>519.0999999999999</v>
      </c>
      <c r="K27" s="40">
        <v>503.79999999999995</v>
      </c>
      <c r="L27" s="40">
        <v>544.9</v>
      </c>
      <c r="M27" s="41">
        <v>398.7</v>
      </c>
      <c r="N27" s="39">
        <v>379.5</v>
      </c>
      <c r="O27" s="40">
        <v>394.7</v>
      </c>
      <c r="P27" s="40">
        <v>397.8</v>
      </c>
      <c r="Q27" s="41">
        <v>374.5</v>
      </c>
      <c r="R27" s="39">
        <v>413.1</v>
      </c>
      <c r="S27" s="40">
        <v>427.8</v>
      </c>
      <c r="T27" s="40">
        <v>479.09999999999997</v>
      </c>
      <c r="U27" s="41">
        <v>376.1</v>
      </c>
      <c r="V27" s="39">
        <v>690</v>
      </c>
      <c r="W27" s="40">
        <v>759.3000000000001</v>
      </c>
      <c r="X27" s="40">
        <v>779.4000000000001</v>
      </c>
      <c r="Y27" s="40">
        <v>827.5</v>
      </c>
      <c r="Z27" s="39">
        <v>855.3000000000001</v>
      </c>
      <c r="AA27" s="40">
        <v>880.4</v>
      </c>
      <c r="AB27" s="40">
        <v>854.0000000000001</v>
      </c>
      <c r="AC27" s="41">
        <v>856.1</v>
      </c>
      <c r="AD27" s="40">
        <v>807.3000000000001</v>
      </c>
      <c r="AE27" s="40">
        <v>929.4000000000001</v>
      </c>
      <c r="AF27" s="40">
        <v>1011.7</v>
      </c>
      <c r="AG27" s="41">
        <v>1083.2</v>
      </c>
      <c r="AH27" s="40">
        <v>940.3</v>
      </c>
      <c r="AI27" s="40">
        <v>1007.9</v>
      </c>
      <c r="AJ27" s="40">
        <v>1089.3</v>
      </c>
      <c r="AK27" s="41">
        <v>1198.7</v>
      </c>
      <c r="AL27" s="40">
        <v>1146.2</v>
      </c>
      <c r="AM27" s="40">
        <v>1641.7</v>
      </c>
      <c r="AN27" s="40">
        <v>1356.6</v>
      </c>
      <c r="AO27" s="41">
        <v>1445.5</v>
      </c>
      <c r="AP27" s="40">
        <v>1372</v>
      </c>
      <c r="AQ27" s="40">
        <v>1583.1</v>
      </c>
    </row>
    <row r="28" spans="1:43" s="9" customFormat="1" ht="12.75">
      <c r="A28" s="97" t="s">
        <v>296</v>
      </c>
      <c r="B28" s="46">
        <f aca="true" t="shared" si="34" ref="B28:AE28">SUM(B32,B29)</f>
        <v>22568.300000000003</v>
      </c>
      <c r="C28" s="47">
        <f t="shared" si="34"/>
        <v>22339.8</v>
      </c>
      <c r="D28" s="47">
        <f t="shared" si="34"/>
        <v>23625.7</v>
      </c>
      <c r="E28" s="47">
        <f t="shared" si="34"/>
        <v>25639.5</v>
      </c>
      <c r="F28" s="46">
        <f t="shared" si="34"/>
        <v>27729.800000000003</v>
      </c>
      <c r="G28" s="47">
        <f t="shared" si="34"/>
        <v>28360.8</v>
      </c>
      <c r="H28" s="47">
        <f t="shared" si="34"/>
        <v>32281.5</v>
      </c>
      <c r="I28" s="48">
        <f t="shared" si="34"/>
        <v>28011.299999999996</v>
      </c>
      <c r="J28" s="46">
        <f t="shared" si="34"/>
        <v>28541</v>
      </c>
      <c r="K28" s="47">
        <f t="shared" si="34"/>
        <v>29424.6</v>
      </c>
      <c r="L28" s="47">
        <f t="shared" si="34"/>
        <v>29025.399999999998</v>
      </c>
      <c r="M28" s="48">
        <f t="shared" si="34"/>
        <v>30103.9</v>
      </c>
      <c r="N28" s="46">
        <f t="shared" si="34"/>
        <v>28936.6</v>
      </c>
      <c r="O28" s="47">
        <f t="shared" si="34"/>
        <v>29014.100000000002</v>
      </c>
      <c r="P28" s="47">
        <f t="shared" si="34"/>
        <v>29629.5</v>
      </c>
      <c r="Q28" s="48">
        <f t="shared" si="34"/>
        <v>30167.199999999997</v>
      </c>
      <c r="R28" s="46">
        <f t="shared" si="34"/>
        <v>30248.199999999997</v>
      </c>
      <c r="S28" s="47">
        <f t="shared" si="34"/>
        <v>31261.399999999998</v>
      </c>
      <c r="T28" s="47">
        <f t="shared" si="34"/>
        <v>32475.5</v>
      </c>
      <c r="U28" s="48">
        <f t="shared" si="34"/>
        <v>33481.799999999996</v>
      </c>
      <c r="V28" s="46">
        <f t="shared" si="34"/>
        <v>33741.700000000004</v>
      </c>
      <c r="W28" s="47">
        <f t="shared" si="34"/>
        <v>35249</v>
      </c>
      <c r="X28" s="47">
        <f t="shared" si="34"/>
        <v>36136.899999999994</v>
      </c>
      <c r="Y28" s="47">
        <f t="shared" si="34"/>
        <v>37683.700000000004</v>
      </c>
      <c r="Z28" s="46">
        <f t="shared" si="34"/>
        <v>39435.100000000006</v>
      </c>
      <c r="AA28" s="47">
        <f t="shared" si="34"/>
        <v>40852.799999999996</v>
      </c>
      <c r="AB28" s="47">
        <f t="shared" si="34"/>
        <v>43104.399999999994</v>
      </c>
      <c r="AC28" s="48">
        <f t="shared" si="34"/>
        <v>43628.9</v>
      </c>
      <c r="AD28" s="47">
        <f t="shared" si="34"/>
        <v>45098.3</v>
      </c>
      <c r="AE28" s="47">
        <f t="shared" si="34"/>
        <v>45989.7</v>
      </c>
      <c r="AF28" s="47">
        <f aca="true" t="shared" si="35" ref="AF28:AK28">SUM(AF32,AF29)</f>
        <v>47130.4</v>
      </c>
      <c r="AG28" s="48">
        <f t="shared" si="35"/>
        <v>50278.79999999999</v>
      </c>
      <c r="AH28" s="47">
        <f t="shared" si="35"/>
        <v>52507.9</v>
      </c>
      <c r="AI28" s="47">
        <f t="shared" si="35"/>
        <v>54780.3</v>
      </c>
      <c r="AJ28" s="47">
        <f t="shared" si="35"/>
        <v>56001</v>
      </c>
      <c r="AK28" s="48">
        <f t="shared" si="35"/>
        <v>58976.399999999994</v>
      </c>
      <c r="AL28" s="47">
        <f aca="true" t="shared" si="36" ref="AL28:AQ28">SUM(AL32,AL29)</f>
        <v>61808.6</v>
      </c>
      <c r="AM28" s="47">
        <f t="shared" si="36"/>
        <v>63074.2</v>
      </c>
      <c r="AN28" s="47">
        <f t="shared" si="36"/>
        <v>61597.2</v>
      </c>
      <c r="AO28" s="48">
        <f t="shared" si="36"/>
        <v>63615.6</v>
      </c>
      <c r="AP28" s="47">
        <f t="shared" si="36"/>
        <v>64809.6</v>
      </c>
      <c r="AQ28" s="47">
        <f t="shared" si="36"/>
        <v>65147.40000000001</v>
      </c>
    </row>
    <row r="29" spans="1:43" s="9" customFormat="1" ht="12.75">
      <c r="A29" s="89" t="s">
        <v>308</v>
      </c>
      <c r="B29" s="39">
        <f aca="true" t="shared" si="37" ref="B29:AE29">SUM(B30:B31)</f>
        <v>22505.9</v>
      </c>
      <c r="C29" s="40">
        <f t="shared" si="37"/>
        <v>22032.899999999998</v>
      </c>
      <c r="D29" s="40">
        <f t="shared" si="37"/>
        <v>23343.2</v>
      </c>
      <c r="E29" s="40">
        <f t="shared" si="37"/>
        <v>25392.6</v>
      </c>
      <c r="F29" s="39">
        <f t="shared" si="37"/>
        <v>27654.9</v>
      </c>
      <c r="G29" s="40">
        <f t="shared" si="37"/>
        <v>28277.399999999998</v>
      </c>
      <c r="H29" s="40">
        <f t="shared" si="37"/>
        <v>32225</v>
      </c>
      <c r="I29" s="41">
        <f t="shared" si="37"/>
        <v>27945.699999999997</v>
      </c>
      <c r="J29" s="39">
        <f t="shared" si="37"/>
        <v>28475.8</v>
      </c>
      <c r="K29" s="40">
        <f t="shared" si="37"/>
        <v>29363.1</v>
      </c>
      <c r="L29" s="40">
        <f t="shared" si="37"/>
        <v>28963.399999999998</v>
      </c>
      <c r="M29" s="41">
        <f t="shared" si="37"/>
        <v>30039.7</v>
      </c>
      <c r="N29" s="39">
        <f t="shared" si="37"/>
        <v>28875.8</v>
      </c>
      <c r="O29" s="40">
        <f t="shared" si="37"/>
        <v>28969.9</v>
      </c>
      <c r="P29" s="40">
        <f t="shared" si="37"/>
        <v>29558</v>
      </c>
      <c r="Q29" s="41">
        <f t="shared" si="37"/>
        <v>30117.699999999997</v>
      </c>
      <c r="R29" s="39">
        <f t="shared" si="37"/>
        <v>30146.6</v>
      </c>
      <c r="S29" s="40">
        <f t="shared" si="37"/>
        <v>31154.8</v>
      </c>
      <c r="T29" s="40">
        <f t="shared" si="37"/>
        <v>32412.1</v>
      </c>
      <c r="U29" s="41">
        <f t="shared" si="37"/>
        <v>33434.7</v>
      </c>
      <c r="V29" s="39">
        <f t="shared" si="37"/>
        <v>33696.9</v>
      </c>
      <c r="W29" s="40">
        <f t="shared" si="37"/>
        <v>35197.3</v>
      </c>
      <c r="X29" s="40">
        <f t="shared" si="37"/>
        <v>36082.7</v>
      </c>
      <c r="Y29" s="40">
        <f t="shared" si="37"/>
        <v>37627.700000000004</v>
      </c>
      <c r="Z29" s="39">
        <f t="shared" si="37"/>
        <v>39370.3</v>
      </c>
      <c r="AA29" s="40">
        <f t="shared" si="37"/>
        <v>40795.799999999996</v>
      </c>
      <c r="AB29" s="40">
        <f t="shared" si="37"/>
        <v>43042.2</v>
      </c>
      <c r="AC29" s="41">
        <f t="shared" si="37"/>
        <v>43563.8</v>
      </c>
      <c r="AD29" s="40">
        <f t="shared" si="37"/>
        <v>45038.3</v>
      </c>
      <c r="AE29" s="40">
        <f t="shared" si="37"/>
        <v>45910.299999999996</v>
      </c>
      <c r="AF29" s="40">
        <f aca="true" t="shared" si="38" ref="AF29:AK29">SUM(AF30:AF31)</f>
        <v>47067.8</v>
      </c>
      <c r="AG29" s="41">
        <f t="shared" si="38"/>
        <v>50217.09999999999</v>
      </c>
      <c r="AH29" s="40">
        <f t="shared" si="38"/>
        <v>52442</v>
      </c>
      <c r="AI29" s="40">
        <f t="shared" si="38"/>
        <v>54687.9</v>
      </c>
      <c r="AJ29" s="40">
        <f t="shared" si="38"/>
        <v>55918</v>
      </c>
      <c r="AK29" s="41">
        <f t="shared" si="38"/>
        <v>58896.2</v>
      </c>
      <c r="AL29" s="40">
        <f aca="true" t="shared" si="39" ref="AL29:AQ29">SUM(AL30:AL31)</f>
        <v>61729.1</v>
      </c>
      <c r="AM29" s="40">
        <f t="shared" si="39"/>
        <v>63008.799999999996</v>
      </c>
      <c r="AN29" s="40">
        <f t="shared" si="39"/>
        <v>61521</v>
      </c>
      <c r="AO29" s="41">
        <f t="shared" si="39"/>
        <v>63548</v>
      </c>
      <c r="AP29" s="40">
        <f t="shared" si="39"/>
        <v>64744</v>
      </c>
      <c r="AQ29" s="40">
        <f t="shared" si="39"/>
        <v>65081.100000000006</v>
      </c>
    </row>
    <row r="30" spans="1:43" s="116" customFormat="1" ht="12.75">
      <c r="A30" s="141" t="s">
        <v>309</v>
      </c>
      <c r="B30" s="57">
        <v>3030</v>
      </c>
      <c r="C30" s="58">
        <v>2999.1</v>
      </c>
      <c r="D30" s="58">
        <v>2254.1</v>
      </c>
      <c r="E30" s="58">
        <v>2603.8</v>
      </c>
      <c r="F30" s="57">
        <v>3482.7</v>
      </c>
      <c r="G30" s="58">
        <v>3582.6</v>
      </c>
      <c r="H30" s="58">
        <v>2313.1</v>
      </c>
      <c r="I30" s="59">
        <v>3796.1</v>
      </c>
      <c r="J30" s="57">
        <v>3711.3</v>
      </c>
      <c r="K30" s="58">
        <v>3858.3</v>
      </c>
      <c r="L30" s="58">
        <v>3847.6</v>
      </c>
      <c r="M30" s="59">
        <v>4122.2</v>
      </c>
      <c r="N30" s="57">
        <v>3957.1</v>
      </c>
      <c r="O30" s="58">
        <v>4239.1</v>
      </c>
      <c r="P30" s="58">
        <v>4257.5</v>
      </c>
      <c r="Q30" s="59">
        <v>4792.4</v>
      </c>
      <c r="R30" s="57">
        <v>4926.9</v>
      </c>
      <c r="S30" s="58">
        <v>4957.8</v>
      </c>
      <c r="T30" s="58">
        <v>4880.8</v>
      </c>
      <c r="U30" s="59">
        <v>5065.5</v>
      </c>
      <c r="V30" s="57">
        <v>4983.6</v>
      </c>
      <c r="W30" s="58">
        <v>5215.4</v>
      </c>
      <c r="X30" s="58">
        <v>5909.599999999999</v>
      </c>
      <c r="Y30" s="58">
        <v>7520.3</v>
      </c>
      <c r="Z30" s="57">
        <v>5464.8</v>
      </c>
      <c r="AA30" s="58">
        <v>5815.2</v>
      </c>
      <c r="AB30" s="58">
        <v>5897.2</v>
      </c>
      <c r="AC30" s="59">
        <v>6456.3</v>
      </c>
      <c r="AD30" s="58">
        <v>6379.1</v>
      </c>
      <c r="AE30" s="58">
        <v>7459.2</v>
      </c>
      <c r="AF30" s="58">
        <v>6924.599999999999</v>
      </c>
      <c r="AG30" s="59">
        <v>7715.299999999999</v>
      </c>
      <c r="AH30" s="58">
        <v>10354.5</v>
      </c>
      <c r="AI30" s="58">
        <v>8702.5</v>
      </c>
      <c r="AJ30" s="58">
        <v>9043.699999999999</v>
      </c>
      <c r="AK30" s="59">
        <v>9875.2</v>
      </c>
      <c r="AL30" s="58">
        <v>10004.1</v>
      </c>
      <c r="AM30" s="58">
        <v>10769.1</v>
      </c>
      <c r="AN30" s="58">
        <v>11259.2</v>
      </c>
      <c r="AO30" s="59">
        <v>11960.2</v>
      </c>
      <c r="AP30" s="58">
        <v>12385</v>
      </c>
      <c r="AQ30" s="58">
        <v>13167.4</v>
      </c>
    </row>
    <row r="31" spans="1:43" s="116" customFormat="1" ht="12.75">
      <c r="A31" s="105" t="s">
        <v>335</v>
      </c>
      <c r="B31" s="251">
        <v>19475.9</v>
      </c>
      <c r="C31" s="251">
        <v>19033.8</v>
      </c>
      <c r="D31" s="251">
        <v>21089.100000000002</v>
      </c>
      <c r="E31" s="251">
        <v>22788.8</v>
      </c>
      <c r="F31" s="251">
        <v>24172.2</v>
      </c>
      <c r="G31" s="251">
        <v>24694.8</v>
      </c>
      <c r="H31" s="251">
        <v>29911.9</v>
      </c>
      <c r="I31" s="251">
        <v>24149.6</v>
      </c>
      <c r="J31" s="251">
        <v>24764.5</v>
      </c>
      <c r="K31" s="251">
        <v>25504.8</v>
      </c>
      <c r="L31" s="251">
        <v>25115.8</v>
      </c>
      <c r="M31" s="251">
        <v>25917.5</v>
      </c>
      <c r="N31" s="251">
        <v>24918.7</v>
      </c>
      <c r="O31" s="251">
        <v>24730.8</v>
      </c>
      <c r="P31" s="251">
        <v>25300.5</v>
      </c>
      <c r="Q31" s="251">
        <v>25325.3</v>
      </c>
      <c r="R31" s="251">
        <v>25219.7</v>
      </c>
      <c r="S31" s="251">
        <v>26197</v>
      </c>
      <c r="T31" s="251">
        <v>27531.3</v>
      </c>
      <c r="U31" s="251">
        <v>28369.199999999997</v>
      </c>
      <c r="V31" s="251">
        <v>28713.3</v>
      </c>
      <c r="W31" s="251">
        <v>29981.9</v>
      </c>
      <c r="X31" s="251">
        <v>30173.1</v>
      </c>
      <c r="Y31" s="251">
        <v>30107.4</v>
      </c>
      <c r="Z31" s="331">
        <v>33905.5</v>
      </c>
      <c r="AA31" s="251">
        <v>34980.6</v>
      </c>
      <c r="AB31" s="251">
        <v>37145</v>
      </c>
      <c r="AC31" s="309">
        <v>37107.5</v>
      </c>
      <c r="AD31" s="251">
        <v>38659.200000000004</v>
      </c>
      <c r="AE31" s="251">
        <v>38451.1</v>
      </c>
      <c r="AF31" s="251">
        <v>40143.200000000004</v>
      </c>
      <c r="AG31" s="309">
        <v>42501.799999999996</v>
      </c>
      <c r="AH31" s="251">
        <v>42087.5</v>
      </c>
      <c r="AI31" s="251">
        <v>45985.4</v>
      </c>
      <c r="AJ31" s="251">
        <v>46874.3</v>
      </c>
      <c r="AK31" s="309">
        <v>49021</v>
      </c>
      <c r="AL31" s="251">
        <v>51725</v>
      </c>
      <c r="AM31" s="251">
        <v>52239.7</v>
      </c>
      <c r="AN31" s="251">
        <v>50261.8</v>
      </c>
      <c r="AO31" s="309">
        <f>47726+3861.8</f>
        <v>51587.8</v>
      </c>
      <c r="AP31" s="251">
        <f>48905+3454</f>
        <v>52359</v>
      </c>
      <c r="AQ31" s="251">
        <f>2933.9+48979.8</f>
        <v>51913.700000000004</v>
      </c>
    </row>
    <row r="32" spans="1:43" ht="12.75">
      <c r="A32" s="89" t="s">
        <v>57</v>
      </c>
      <c r="B32" s="39">
        <v>62.4</v>
      </c>
      <c r="C32" s="40">
        <v>306.9</v>
      </c>
      <c r="D32" s="40">
        <v>282.5</v>
      </c>
      <c r="E32" s="40">
        <v>246.9</v>
      </c>
      <c r="F32" s="39">
        <v>74.9</v>
      </c>
      <c r="G32" s="40">
        <v>83.4</v>
      </c>
      <c r="H32" s="40">
        <v>56.5</v>
      </c>
      <c r="I32" s="41">
        <v>65.60000000000001</v>
      </c>
      <c r="J32" s="39">
        <v>65.2</v>
      </c>
      <c r="K32" s="40">
        <v>61.5</v>
      </c>
      <c r="L32" s="40">
        <v>62</v>
      </c>
      <c r="M32" s="41">
        <v>64.2</v>
      </c>
      <c r="N32" s="39">
        <v>60.8</v>
      </c>
      <c r="O32" s="40">
        <v>44.2</v>
      </c>
      <c r="P32" s="40">
        <v>71.5</v>
      </c>
      <c r="Q32" s="41">
        <v>49.5</v>
      </c>
      <c r="R32" s="39">
        <v>101.6</v>
      </c>
      <c r="S32" s="40">
        <v>106.6</v>
      </c>
      <c r="T32" s="40">
        <v>63.400000000000006</v>
      </c>
      <c r="U32" s="41">
        <v>47.1</v>
      </c>
      <c r="V32" s="39">
        <v>44.8</v>
      </c>
      <c r="W32" s="40">
        <v>51.699999999999996</v>
      </c>
      <c r="X32" s="40">
        <v>54.199999999999996</v>
      </c>
      <c r="Y32" s="40">
        <v>56</v>
      </c>
      <c r="Z32" s="39">
        <v>64.8</v>
      </c>
      <c r="AA32" s="40">
        <v>57</v>
      </c>
      <c r="AB32" s="40">
        <v>62.199999999999996</v>
      </c>
      <c r="AC32" s="41">
        <v>65.1</v>
      </c>
      <c r="AD32" s="40">
        <v>60</v>
      </c>
      <c r="AE32" s="40">
        <v>79.4</v>
      </c>
      <c r="AF32" s="40">
        <v>62.6</v>
      </c>
      <c r="AG32" s="41">
        <v>61.699999999999996</v>
      </c>
      <c r="AH32" s="40">
        <v>65.9</v>
      </c>
      <c r="AI32" s="40">
        <v>92.4</v>
      </c>
      <c r="AJ32" s="40">
        <v>83</v>
      </c>
      <c r="AK32" s="41">
        <v>80.2</v>
      </c>
      <c r="AL32" s="40">
        <v>79.5</v>
      </c>
      <c r="AM32" s="40">
        <v>65.4</v>
      </c>
      <c r="AN32" s="40">
        <v>76.2</v>
      </c>
      <c r="AO32" s="41">
        <v>67.6</v>
      </c>
      <c r="AP32" s="40">
        <v>65.6</v>
      </c>
      <c r="AQ32" s="40">
        <v>66.3</v>
      </c>
    </row>
    <row r="33" spans="1:43" s="13" customFormat="1" ht="12.75">
      <c r="A33" s="98" t="s">
        <v>161</v>
      </c>
      <c r="B33" s="93">
        <f aca="true" t="shared" si="40" ref="B33:AD33">B23+B28</f>
        <v>33444.9</v>
      </c>
      <c r="C33" s="94">
        <f t="shared" si="40"/>
        <v>33312.7</v>
      </c>
      <c r="D33" s="94">
        <f t="shared" si="40"/>
        <v>34912.6</v>
      </c>
      <c r="E33" s="94">
        <f t="shared" si="40"/>
        <v>38725.3</v>
      </c>
      <c r="F33" s="93">
        <f t="shared" si="40"/>
        <v>39810.700000000004</v>
      </c>
      <c r="G33" s="94">
        <f t="shared" si="40"/>
        <v>40753.4</v>
      </c>
      <c r="H33" s="94">
        <f t="shared" si="40"/>
        <v>45088.3</v>
      </c>
      <c r="I33" s="95">
        <f t="shared" si="40"/>
        <v>39611.299999999996</v>
      </c>
      <c r="J33" s="93">
        <f t="shared" si="40"/>
        <v>39154.1</v>
      </c>
      <c r="K33" s="94">
        <f t="shared" si="40"/>
        <v>39901.399999999994</v>
      </c>
      <c r="L33" s="94">
        <f t="shared" si="40"/>
        <v>40493.2</v>
      </c>
      <c r="M33" s="95">
        <f t="shared" si="40"/>
        <v>42364.3</v>
      </c>
      <c r="N33" s="93">
        <f t="shared" si="40"/>
        <v>41033.7</v>
      </c>
      <c r="O33" s="94">
        <f t="shared" si="40"/>
        <v>40545.5</v>
      </c>
      <c r="P33" s="94">
        <f t="shared" si="40"/>
        <v>41582.299999999996</v>
      </c>
      <c r="Q33" s="95">
        <f t="shared" si="40"/>
        <v>43025.299999999996</v>
      </c>
      <c r="R33" s="93">
        <f t="shared" si="40"/>
        <v>41801.299999999996</v>
      </c>
      <c r="S33" s="94">
        <f t="shared" si="40"/>
        <v>43799.899999999994</v>
      </c>
      <c r="T33" s="94">
        <f t="shared" si="40"/>
        <v>46054.7</v>
      </c>
      <c r="U33" s="95">
        <f t="shared" si="40"/>
        <v>47745.2</v>
      </c>
      <c r="V33" s="93">
        <f t="shared" si="40"/>
        <v>47634.90000000001</v>
      </c>
      <c r="W33" s="94">
        <f t="shared" si="40"/>
        <v>48818.4</v>
      </c>
      <c r="X33" s="94">
        <f t="shared" si="40"/>
        <v>50048.899999999994</v>
      </c>
      <c r="Y33" s="94">
        <f t="shared" si="40"/>
        <v>52251.100000000006</v>
      </c>
      <c r="Z33" s="93">
        <f t="shared" si="40"/>
        <v>53749.50000000001</v>
      </c>
      <c r="AA33" s="94">
        <f t="shared" si="40"/>
        <v>57471.799999999996</v>
      </c>
      <c r="AB33" s="94">
        <f t="shared" si="40"/>
        <v>60576.7</v>
      </c>
      <c r="AC33" s="95">
        <f t="shared" si="40"/>
        <v>62231.3</v>
      </c>
      <c r="AD33" s="94">
        <f t="shared" si="40"/>
        <v>62610.9</v>
      </c>
      <c r="AE33" s="94">
        <f aca="true" t="shared" si="41" ref="AE33:AJ33">SUM(AE23,AE28)</f>
        <v>65126.4</v>
      </c>
      <c r="AF33" s="94">
        <f t="shared" si="41"/>
        <v>66832.6</v>
      </c>
      <c r="AG33" s="95">
        <f t="shared" si="41"/>
        <v>71539.29999999999</v>
      </c>
      <c r="AH33" s="94">
        <f t="shared" si="41"/>
        <v>73225.8</v>
      </c>
      <c r="AI33" s="94">
        <f t="shared" si="41"/>
        <v>76942.5</v>
      </c>
      <c r="AJ33" s="94">
        <f t="shared" si="41"/>
        <v>79348.8</v>
      </c>
      <c r="AK33" s="95">
        <f aca="true" t="shared" si="42" ref="AK33:AQ33">SUM(AK23,AK28)</f>
        <v>83769.29999999999</v>
      </c>
      <c r="AL33" s="94">
        <f t="shared" si="42"/>
        <v>86077.3</v>
      </c>
      <c r="AM33" s="94">
        <f t="shared" si="42"/>
        <v>88521.8</v>
      </c>
      <c r="AN33" s="94">
        <f t="shared" si="42"/>
        <v>87572.29999999999</v>
      </c>
      <c r="AO33" s="95">
        <f t="shared" si="42"/>
        <v>90456.5</v>
      </c>
      <c r="AP33" s="94">
        <f t="shared" si="42"/>
        <v>91082.7</v>
      </c>
      <c r="AQ33" s="94">
        <f t="shared" si="42"/>
        <v>91830.20000000001</v>
      </c>
    </row>
    <row r="34" spans="1:43" s="9" customFormat="1" ht="12.75">
      <c r="A34" s="89"/>
      <c r="B34" s="39"/>
      <c r="C34" s="40"/>
      <c r="D34" s="40"/>
      <c r="E34" s="40"/>
      <c r="F34" s="39"/>
      <c r="G34" s="40"/>
      <c r="H34" s="40"/>
      <c r="I34" s="41"/>
      <c r="J34" s="39"/>
      <c r="K34" s="40"/>
      <c r="L34" s="40"/>
      <c r="M34" s="41"/>
      <c r="N34" s="39"/>
      <c r="O34" s="40"/>
      <c r="P34" s="40"/>
      <c r="Q34" s="41"/>
      <c r="R34" s="39"/>
      <c r="S34" s="40"/>
      <c r="T34" s="40"/>
      <c r="U34" s="41"/>
      <c r="V34" s="39"/>
      <c r="W34" s="40"/>
      <c r="X34" s="40"/>
      <c r="Y34" s="40"/>
      <c r="Z34" s="39"/>
      <c r="AA34" s="40"/>
      <c r="AB34" s="40"/>
      <c r="AC34" s="41"/>
      <c r="AD34" s="40"/>
      <c r="AE34" s="40"/>
      <c r="AF34" s="40"/>
      <c r="AG34" s="41"/>
      <c r="AH34" s="40"/>
      <c r="AI34" s="40"/>
      <c r="AJ34" s="40"/>
      <c r="AK34" s="41"/>
      <c r="AL34" s="40"/>
      <c r="AM34" s="40"/>
      <c r="AN34" s="40"/>
      <c r="AO34" s="41"/>
      <c r="AP34" s="40"/>
      <c r="AQ34" s="40"/>
    </row>
    <row r="35" spans="1:43" s="206" customFormat="1" ht="24">
      <c r="A35" s="11" t="s">
        <v>163</v>
      </c>
      <c r="B35" s="195"/>
      <c r="C35" s="196"/>
      <c r="D35" s="196"/>
      <c r="E35" s="196"/>
      <c r="F35" s="195"/>
      <c r="G35" s="196"/>
      <c r="H35" s="196"/>
      <c r="I35" s="197"/>
      <c r="J35" s="195"/>
      <c r="K35" s="196"/>
      <c r="L35" s="196"/>
      <c r="M35" s="197"/>
      <c r="N35" s="195"/>
      <c r="O35" s="196"/>
      <c r="P35" s="196"/>
      <c r="Q35" s="197"/>
      <c r="R35" s="195"/>
      <c r="S35" s="196"/>
      <c r="T35" s="196"/>
      <c r="U35" s="197"/>
      <c r="V35" s="195"/>
      <c r="W35" s="196"/>
      <c r="X35" s="196"/>
      <c r="Y35" s="196"/>
      <c r="Z35" s="195"/>
      <c r="AA35" s="196"/>
      <c r="AB35" s="196"/>
      <c r="AC35" s="197"/>
      <c r="AD35" s="196"/>
      <c r="AE35" s="196"/>
      <c r="AF35" s="196"/>
      <c r="AG35" s="197"/>
      <c r="AH35" s="196"/>
      <c r="AI35" s="196"/>
      <c r="AJ35" s="196"/>
      <c r="AK35" s="197"/>
      <c r="AL35" s="196"/>
      <c r="AM35" s="196"/>
      <c r="AN35" s="196"/>
      <c r="AO35" s="197"/>
      <c r="AP35" s="196"/>
      <c r="AQ35" s="196"/>
    </row>
    <row r="36" spans="1:43" s="9" customFormat="1" ht="12.75">
      <c r="A36" s="89"/>
      <c r="B36" s="39"/>
      <c r="C36" s="40"/>
      <c r="D36" s="40"/>
      <c r="E36" s="40"/>
      <c r="F36" s="39"/>
      <c r="G36" s="40"/>
      <c r="H36" s="40"/>
      <c r="I36" s="41"/>
      <c r="J36" s="39"/>
      <c r="K36" s="40"/>
      <c r="L36" s="40"/>
      <c r="M36" s="41"/>
      <c r="N36" s="39"/>
      <c r="O36" s="40"/>
      <c r="P36" s="40"/>
      <c r="Q36" s="41"/>
      <c r="R36" s="39"/>
      <c r="S36" s="40"/>
      <c r="T36" s="40"/>
      <c r="U36" s="41"/>
      <c r="V36" s="39"/>
      <c r="W36" s="40"/>
      <c r="X36" s="40"/>
      <c r="Y36" s="40"/>
      <c r="Z36" s="39"/>
      <c r="AA36" s="40"/>
      <c r="AB36" s="40"/>
      <c r="AC36" s="41"/>
      <c r="AD36" s="40"/>
      <c r="AE36" s="40"/>
      <c r="AF36" s="40"/>
      <c r="AG36" s="41"/>
      <c r="AH36" s="40"/>
      <c r="AI36" s="40"/>
      <c r="AJ36" s="40"/>
      <c r="AK36" s="41"/>
      <c r="AL36" s="40"/>
      <c r="AM36" s="40"/>
      <c r="AN36" s="40"/>
      <c r="AO36" s="41"/>
      <c r="AP36" s="40"/>
      <c r="AQ36" s="40"/>
    </row>
    <row r="37" spans="1:43" s="9" customFormat="1" ht="12.75">
      <c r="A37" s="89" t="s">
        <v>156</v>
      </c>
      <c r="B37" s="39">
        <f>SUM(B38:B39)</f>
        <v>1940.6999999999998</v>
      </c>
      <c r="C37" s="40">
        <f aca="true" t="shared" si="43" ref="C37:W37">SUM(C38:C39)</f>
        <v>2130.2</v>
      </c>
      <c r="D37" s="40">
        <f t="shared" si="43"/>
        <v>2223.5</v>
      </c>
      <c r="E37" s="40">
        <f t="shared" si="43"/>
        <v>2572.4</v>
      </c>
      <c r="F37" s="39">
        <f t="shared" si="43"/>
        <v>2375</v>
      </c>
      <c r="G37" s="40">
        <f t="shared" si="43"/>
        <v>2885.4</v>
      </c>
      <c r="H37" s="40">
        <f t="shared" si="43"/>
        <v>2562.9</v>
      </c>
      <c r="I37" s="41">
        <f t="shared" si="43"/>
        <v>2886.2</v>
      </c>
      <c r="J37" s="39">
        <f t="shared" si="43"/>
        <v>2195.5</v>
      </c>
      <c r="K37" s="40">
        <f t="shared" si="43"/>
        <v>1661</v>
      </c>
      <c r="L37" s="40">
        <f t="shared" si="43"/>
        <v>1679.3</v>
      </c>
      <c r="M37" s="41">
        <f t="shared" si="43"/>
        <v>1508.2</v>
      </c>
      <c r="N37" s="39">
        <f t="shared" si="43"/>
        <v>1525.6000000000001</v>
      </c>
      <c r="O37" s="40">
        <f t="shared" si="43"/>
        <v>1382.5</v>
      </c>
      <c r="P37" s="40">
        <f t="shared" si="43"/>
        <v>2799.2</v>
      </c>
      <c r="Q37" s="41">
        <f t="shared" si="43"/>
        <v>1695</v>
      </c>
      <c r="R37" s="39">
        <f t="shared" si="43"/>
        <v>1787.3000000000002</v>
      </c>
      <c r="S37" s="40">
        <f t="shared" si="43"/>
        <v>1637.3000000000002</v>
      </c>
      <c r="T37" s="40">
        <f t="shared" si="43"/>
        <v>2223.2</v>
      </c>
      <c r="U37" s="41">
        <f t="shared" si="43"/>
        <v>2102.6</v>
      </c>
      <c r="V37" s="39">
        <f t="shared" si="43"/>
        <v>1680</v>
      </c>
      <c r="W37" s="40">
        <f t="shared" si="43"/>
        <v>1643.2</v>
      </c>
      <c r="X37" s="40">
        <f aca="true" t="shared" si="44" ref="X37:AC37">SUM(X38:X39)</f>
        <v>1632.2</v>
      </c>
      <c r="Y37" s="40">
        <f t="shared" si="44"/>
        <v>2099</v>
      </c>
      <c r="Z37" s="39">
        <f t="shared" si="44"/>
        <v>1881.6999999999998</v>
      </c>
      <c r="AA37" s="40">
        <f t="shared" si="44"/>
        <v>1933.9</v>
      </c>
      <c r="AB37" s="40">
        <f t="shared" si="44"/>
        <v>1938.8000000000002</v>
      </c>
      <c r="AC37" s="41">
        <f t="shared" si="44"/>
        <v>2090.8</v>
      </c>
      <c r="AD37" s="40">
        <f aca="true" t="shared" si="45" ref="AD37:AI37">SUM(AD38:AD39)</f>
        <v>2016.7</v>
      </c>
      <c r="AE37" s="40">
        <f t="shared" si="45"/>
        <v>1910.5</v>
      </c>
      <c r="AF37" s="40">
        <f t="shared" si="45"/>
        <v>1936.8</v>
      </c>
      <c r="AG37" s="41">
        <f t="shared" si="45"/>
        <v>1868.5</v>
      </c>
      <c r="AH37" s="40">
        <f t="shared" si="45"/>
        <v>1948.1</v>
      </c>
      <c r="AI37" s="40">
        <f t="shared" si="45"/>
        <v>1705.5</v>
      </c>
      <c r="AJ37" s="40">
        <f aca="true" t="shared" si="46" ref="AJ37:AQ37">SUM(AJ38:AJ39)</f>
        <v>1777.6000000000001</v>
      </c>
      <c r="AK37" s="41">
        <f t="shared" si="46"/>
        <v>1619.5</v>
      </c>
      <c r="AL37" s="40">
        <f t="shared" si="46"/>
        <v>1786.1999999999998</v>
      </c>
      <c r="AM37" s="40">
        <f t="shared" si="46"/>
        <v>2252.2999999999997</v>
      </c>
      <c r="AN37" s="40">
        <f t="shared" si="46"/>
        <v>1944.6999999999998</v>
      </c>
      <c r="AO37" s="41">
        <f t="shared" si="46"/>
        <v>1740.8</v>
      </c>
      <c r="AP37" s="40">
        <f t="shared" si="46"/>
        <v>2572.5</v>
      </c>
      <c r="AQ37" s="40">
        <f t="shared" si="46"/>
        <v>1755.6000000000001</v>
      </c>
    </row>
    <row r="38" spans="1:43" s="66" customFormat="1" ht="12.75">
      <c r="A38" s="105" t="s">
        <v>160</v>
      </c>
      <c r="B38" s="57">
        <v>852.5</v>
      </c>
      <c r="C38" s="58">
        <v>910</v>
      </c>
      <c r="D38" s="58">
        <v>1104.9</v>
      </c>
      <c r="E38" s="58">
        <v>2028.9</v>
      </c>
      <c r="F38" s="57">
        <v>1264.2</v>
      </c>
      <c r="G38" s="58">
        <v>1695.5</v>
      </c>
      <c r="H38" s="58">
        <v>1176.2</v>
      </c>
      <c r="I38" s="59">
        <v>2400.7</v>
      </c>
      <c r="J38" s="57">
        <v>1266.1</v>
      </c>
      <c r="K38" s="58">
        <v>1182.3</v>
      </c>
      <c r="L38" s="58">
        <v>1198.3</v>
      </c>
      <c r="M38" s="59">
        <v>1304</v>
      </c>
      <c r="N38" s="57">
        <v>1141.4</v>
      </c>
      <c r="O38" s="58">
        <v>1081.4</v>
      </c>
      <c r="P38" s="58">
        <v>1878.3</v>
      </c>
      <c r="Q38" s="59">
        <v>1455.3</v>
      </c>
      <c r="R38" s="57">
        <v>1357.9</v>
      </c>
      <c r="S38" s="58">
        <v>1285.7</v>
      </c>
      <c r="T38" s="58">
        <v>1569.5</v>
      </c>
      <c r="U38" s="59">
        <v>1930.9</v>
      </c>
      <c r="V38" s="57">
        <v>1216.3</v>
      </c>
      <c r="W38" s="58">
        <v>1254.5</v>
      </c>
      <c r="X38" s="58">
        <v>1318.5</v>
      </c>
      <c r="Y38" s="58">
        <v>1982.1</v>
      </c>
      <c r="Z38" s="57">
        <v>1446.1</v>
      </c>
      <c r="AA38" s="58">
        <v>1501.7</v>
      </c>
      <c r="AB38" s="58">
        <v>1511.7</v>
      </c>
      <c r="AC38" s="59">
        <v>2029</v>
      </c>
      <c r="AD38" s="58">
        <v>1589</v>
      </c>
      <c r="AE38" s="58">
        <v>1625.2</v>
      </c>
      <c r="AF38" s="58">
        <v>1622.5</v>
      </c>
      <c r="AG38" s="59">
        <v>1809.4</v>
      </c>
      <c r="AH38" s="58">
        <v>1577.6</v>
      </c>
      <c r="AI38" s="58">
        <v>1549.5</v>
      </c>
      <c r="AJ38" s="58">
        <v>1657.4</v>
      </c>
      <c r="AK38" s="59">
        <v>1530.6</v>
      </c>
      <c r="AL38" s="58">
        <v>1669.6</v>
      </c>
      <c r="AM38" s="58">
        <v>2091.7</v>
      </c>
      <c r="AN38" s="58">
        <v>1747.1</v>
      </c>
      <c r="AO38" s="59">
        <v>1684.3</v>
      </c>
      <c r="AP38" s="58">
        <v>1693.5</v>
      </c>
      <c r="AQ38" s="58">
        <v>1647.2</v>
      </c>
    </row>
    <row r="39" spans="1:43" s="116" customFormat="1" ht="12.75">
      <c r="A39" s="105" t="s">
        <v>218</v>
      </c>
      <c r="B39" s="57">
        <f>1086.6+1.6</f>
        <v>1088.1999999999998</v>
      </c>
      <c r="C39" s="58">
        <f>1218.2+2</f>
        <v>1220.2</v>
      </c>
      <c r="D39" s="58">
        <f>1116.5+2.1</f>
        <v>1118.6</v>
      </c>
      <c r="E39" s="58">
        <v>543.5</v>
      </c>
      <c r="F39" s="57">
        <v>1110.8</v>
      </c>
      <c r="G39" s="58">
        <v>1189.9</v>
      </c>
      <c r="H39" s="58">
        <v>1386.7</v>
      </c>
      <c r="I39" s="59">
        <v>485.5</v>
      </c>
      <c r="J39" s="57">
        <v>929.4</v>
      </c>
      <c r="K39" s="58">
        <v>478.7</v>
      </c>
      <c r="L39" s="58">
        <v>481</v>
      </c>
      <c r="M39" s="59">
        <v>204.2</v>
      </c>
      <c r="N39" s="57">
        <v>384.2</v>
      </c>
      <c r="O39" s="58">
        <v>301.1</v>
      </c>
      <c r="P39" s="58">
        <v>920.9</v>
      </c>
      <c r="Q39" s="59">
        <v>239.7</v>
      </c>
      <c r="R39" s="57">
        <v>429.4</v>
      </c>
      <c r="S39" s="58">
        <v>351.6</v>
      </c>
      <c r="T39" s="58">
        <v>653.7</v>
      </c>
      <c r="U39" s="59">
        <v>171.7</v>
      </c>
      <c r="V39" s="57">
        <v>463.7</v>
      </c>
      <c r="W39" s="58">
        <v>388.7</v>
      </c>
      <c r="X39" s="58">
        <v>313.7</v>
      </c>
      <c r="Y39" s="58">
        <v>116.9</v>
      </c>
      <c r="Z39" s="57">
        <v>435.6</v>
      </c>
      <c r="AA39" s="58">
        <v>432.2</v>
      </c>
      <c r="AB39" s="58">
        <v>427.1</v>
      </c>
      <c r="AC39" s="59">
        <v>61.8</v>
      </c>
      <c r="AD39" s="58">
        <v>427.7</v>
      </c>
      <c r="AE39" s="58">
        <v>285.3</v>
      </c>
      <c r="AF39" s="58">
        <v>314.3</v>
      </c>
      <c r="AG39" s="59">
        <v>59.1</v>
      </c>
      <c r="AH39" s="58">
        <v>370.5</v>
      </c>
      <c r="AI39" s="58">
        <v>156</v>
      </c>
      <c r="AJ39" s="58">
        <v>120.2</v>
      </c>
      <c r="AK39" s="59">
        <v>88.9</v>
      </c>
      <c r="AL39" s="58">
        <v>116.60000000000001</v>
      </c>
      <c r="AM39" s="58">
        <v>160.6</v>
      </c>
      <c r="AN39" s="58">
        <v>197.6</v>
      </c>
      <c r="AO39" s="59">
        <v>56.5</v>
      </c>
      <c r="AP39" s="58">
        <v>879</v>
      </c>
      <c r="AQ39" s="58">
        <v>108.4</v>
      </c>
    </row>
    <row r="40" spans="1:43" ht="12.75">
      <c r="A40" s="25" t="s">
        <v>157</v>
      </c>
      <c r="B40" s="39">
        <v>1.4</v>
      </c>
      <c r="C40" s="40">
        <v>0.7</v>
      </c>
      <c r="D40" s="40">
        <v>9.3</v>
      </c>
      <c r="E40" s="40">
        <v>6.6</v>
      </c>
      <c r="F40" s="39">
        <v>7.2</v>
      </c>
      <c r="G40" s="40">
        <v>4.6</v>
      </c>
      <c r="H40" s="40">
        <v>2.2</v>
      </c>
      <c r="I40" s="41">
        <v>16</v>
      </c>
      <c r="J40" s="39">
        <v>4.5</v>
      </c>
      <c r="K40" s="40">
        <v>13.7</v>
      </c>
      <c r="L40" s="40">
        <v>5.5</v>
      </c>
      <c r="M40" s="41">
        <v>1.1</v>
      </c>
      <c r="N40" s="39">
        <v>0.6</v>
      </c>
      <c r="O40" s="40">
        <v>0.6</v>
      </c>
      <c r="P40" s="40">
        <v>0.6</v>
      </c>
      <c r="Q40" s="41">
        <v>1.9</v>
      </c>
      <c r="R40" s="39">
        <v>2.1</v>
      </c>
      <c r="S40" s="40">
        <v>2.2</v>
      </c>
      <c r="T40" s="40">
        <v>2.1</v>
      </c>
      <c r="U40" s="41">
        <v>2.1</v>
      </c>
      <c r="V40" s="39">
        <v>1.9</v>
      </c>
      <c r="W40" s="40">
        <v>1.4</v>
      </c>
      <c r="X40" s="40">
        <v>1.6</v>
      </c>
      <c r="Y40" s="40">
        <v>3.6</v>
      </c>
      <c r="Z40" s="39">
        <v>54.9</v>
      </c>
      <c r="AA40" s="40">
        <v>51.9</v>
      </c>
      <c r="AB40" s="40">
        <v>7.7</v>
      </c>
      <c r="AC40" s="41">
        <v>9.6</v>
      </c>
      <c r="AD40" s="40">
        <v>6</v>
      </c>
      <c r="AE40" s="40">
        <v>10.8</v>
      </c>
      <c r="AF40" s="40">
        <v>7.3</v>
      </c>
      <c r="AG40" s="41">
        <v>7.3</v>
      </c>
      <c r="AH40" s="40">
        <v>6.5</v>
      </c>
      <c r="AI40" s="40">
        <v>18.9</v>
      </c>
      <c r="AJ40" s="40">
        <v>9.8</v>
      </c>
      <c r="AK40" s="41">
        <v>12.4</v>
      </c>
      <c r="AL40" s="40">
        <v>11.600000000000001</v>
      </c>
      <c r="AM40" s="40">
        <v>9.1</v>
      </c>
      <c r="AN40" s="40">
        <v>12.1</v>
      </c>
      <c r="AO40" s="41">
        <v>10.2</v>
      </c>
      <c r="AP40" s="40">
        <v>7.9</v>
      </c>
      <c r="AQ40" s="40">
        <v>7.5</v>
      </c>
    </row>
    <row r="41" spans="1:43" s="13" customFormat="1" ht="12.75">
      <c r="A41" s="98" t="s">
        <v>161</v>
      </c>
      <c r="B41" s="93">
        <f aca="true" t="shared" si="47" ref="B41:Z41">B37+B40</f>
        <v>1942.1</v>
      </c>
      <c r="C41" s="94">
        <f t="shared" si="47"/>
        <v>2130.8999999999996</v>
      </c>
      <c r="D41" s="94">
        <f t="shared" si="47"/>
        <v>2232.8</v>
      </c>
      <c r="E41" s="94">
        <f t="shared" si="47"/>
        <v>2579</v>
      </c>
      <c r="F41" s="93">
        <f t="shared" si="47"/>
        <v>2382.2</v>
      </c>
      <c r="G41" s="94">
        <f t="shared" si="47"/>
        <v>2890</v>
      </c>
      <c r="H41" s="94">
        <f t="shared" si="47"/>
        <v>2565.1</v>
      </c>
      <c r="I41" s="95">
        <f t="shared" si="47"/>
        <v>2902.2</v>
      </c>
      <c r="J41" s="93">
        <f t="shared" si="47"/>
        <v>2200</v>
      </c>
      <c r="K41" s="94">
        <f t="shared" si="47"/>
        <v>1674.7</v>
      </c>
      <c r="L41" s="94">
        <f t="shared" si="47"/>
        <v>1684.8</v>
      </c>
      <c r="M41" s="95">
        <f t="shared" si="47"/>
        <v>1509.3</v>
      </c>
      <c r="N41" s="93">
        <f t="shared" si="47"/>
        <v>1526.2</v>
      </c>
      <c r="O41" s="94">
        <f t="shared" si="47"/>
        <v>1383.1</v>
      </c>
      <c r="P41" s="94">
        <f t="shared" si="47"/>
        <v>2799.7999999999997</v>
      </c>
      <c r="Q41" s="95">
        <f t="shared" si="47"/>
        <v>1696.9</v>
      </c>
      <c r="R41" s="93">
        <f t="shared" si="47"/>
        <v>1789.4</v>
      </c>
      <c r="S41" s="94">
        <f t="shared" si="47"/>
        <v>1639.5000000000002</v>
      </c>
      <c r="T41" s="94">
        <f t="shared" si="47"/>
        <v>2225.2999999999997</v>
      </c>
      <c r="U41" s="95">
        <f t="shared" si="47"/>
        <v>2104.7</v>
      </c>
      <c r="V41" s="93">
        <f t="shared" si="47"/>
        <v>1681.9</v>
      </c>
      <c r="W41" s="94">
        <f t="shared" si="47"/>
        <v>1644.6000000000001</v>
      </c>
      <c r="X41" s="94">
        <f t="shared" si="47"/>
        <v>1633.8</v>
      </c>
      <c r="Y41" s="94">
        <f t="shared" si="47"/>
        <v>2102.6</v>
      </c>
      <c r="Z41" s="93">
        <f t="shared" si="47"/>
        <v>1936.6</v>
      </c>
      <c r="AA41" s="94">
        <f aca="true" t="shared" si="48" ref="AA41:AF41">AA37+AA40</f>
        <v>1985.8000000000002</v>
      </c>
      <c r="AB41" s="94">
        <f t="shared" si="48"/>
        <v>1946.5000000000002</v>
      </c>
      <c r="AC41" s="95">
        <f t="shared" si="48"/>
        <v>2100.4</v>
      </c>
      <c r="AD41" s="94">
        <f t="shared" si="48"/>
        <v>2022.7</v>
      </c>
      <c r="AE41" s="94">
        <f t="shared" si="48"/>
        <v>1921.3</v>
      </c>
      <c r="AF41" s="94">
        <f t="shared" si="48"/>
        <v>1944.1</v>
      </c>
      <c r="AG41" s="95">
        <f aca="true" t="shared" si="49" ref="AG41:AL41">AG37+AG40</f>
        <v>1875.8</v>
      </c>
      <c r="AH41" s="94">
        <f t="shared" si="49"/>
        <v>1954.6</v>
      </c>
      <c r="AI41" s="94">
        <f t="shared" si="49"/>
        <v>1724.4</v>
      </c>
      <c r="AJ41" s="94">
        <f t="shared" si="49"/>
        <v>1787.4</v>
      </c>
      <c r="AK41" s="95">
        <f t="shared" si="49"/>
        <v>1631.9</v>
      </c>
      <c r="AL41" s="94">
        <f t="shared" si="49"/>
        <v>1797.7999999999997</v>
      </c>
      <c r="AM41" s="94">
        <f>AM37+AM40</f>
        <v>2261.3999999999996</v>
      </c>
      <c r="AN41" s="94">
        <f>AN37+AN40</f>
        <v>1956.7999999999997</v>
      </c>
      <c r="AO41" s="95">
        <f>AO37+AO40</f>
        <v>1751</v>
      </c>
      <c r="AP41" s="94">
        <f>AP37+AP40</f>
        <v>2580.4</v>
      </c>
      <c r="AQ41" s="94">
        <f>AQ37+AQ40</f>
        <v>1763.1000000000001</v>
      </c>
    </row>
    <row r="43" spans="2:17" ht="12.75">
      <c r="B43" s="96"/>
      <c r="C43" s="96"/>
      <c r="D43" s="96"/>
      <c r="E43" s="96"/>
      <c r="F43" s="96"/>
      <c r="G43" s="96"/>
      <c r="H43" s="96"/>
      <c r="I43" s="96"/>
      <c r="J43" s="96"/>
      <c r="K43" s="96"/>
      <c r="L43" s="96"/>
      <c r="M43" s="96"/>
      <c r="N43" s="96"/>
      <c r="O43" s="96"/>
      <c r="P43" s="96"/>
      <c r="Q43" s="96"/>
    </row>
    <row r="45" spans="2:42" ht="12.7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row>
  </sheetData>
  <sheetProtection/>
  <mergeCells count="12">
    <mergeCell ref="AL3:AO3"/>
    <mergeCell ref="AH3:AK3"/>
    <mergeCell ref="V3:Y3"/>
    <mergeCell ref="N3:Q3"/>
    <mergeCell ref="R3:U3"/>
    <mergeCell ref="AP3:AQ3"/>
    <mergeCell ref="A3:A4"/>
    <mergeCell ref="B3:E3"/>
    <mergeCell ref="F3:I3"/>
    <mergeCell ref="J3:M3"/>
    <mergeCell ref="AD3:AG3"/>
    <mergeCell ref="Z3:AC3"/>
  </mergeCells>
  <printOptions horizontalCentered="1"/>
  <pageMargins left="0.2362204724409449" right="0.2362204724409449" top="0.7480314960629921" bottom="0.7480314960629921" header="0.31496062992125984" footer="0.31496062992125984"/>
  <pageSetup horizontalDpi="600" verticalDpi="600" orientation="landscape" paperSize="9" scale="37" r:id="rId1"/>
  <headerFooter alignWithMargins="0">
    <oddHeader>&amp;C&amp;"Times New Roman,Kursywa"&amp;12
</oddHeader>
  </headerFooter>
  <ignoredErrors>
    <ignoredError sqref="M15:W15 M20:W22 R34:W34 M36:W37 E36:L41 E15:L15 O24:W24 O29:W30 AA38:AB39 E19:L23 E16:E18 AC38:AE39 AC40:AG45 AF38:AG39 O35:W35 M29:N30 E27:L30 E24:N24 E32:L35 M35:N35 B25:N26 B35:D35 B32:D34 M32:N34 B24:D24 B31:N31 B27:D30 M27:N28 AG6:AH6 AH21:AH23 AH15 AH33 AH34:AH37 AH24 AH28 AH29 AH19:AH20 AG7:AH14 AG17:AG18 AG31 AG28 AG25:AG26 AG24 AG33 AG29:AG30 AG27 AG34:AG37 AG32 AG15 AG21:AG23 AG19:AG20 AG16 AD16:AF16 X35:Y35 AF19:AF20 AF21:AF23 AF15 AF32 AF34:AF37 AF27 AF29:AF30 AF33 AF24 AF25:AF26 AF28 AF31 AC17:AF18 AC27:AC30 AC24 AC33 AD29:AD30 AD27 AC34:AD37 AC32:AD32 AC15 AC25:AE26 AD15:AE15 AD21:AE23 AD33:AE33 AE32 AE34:AE37 AD28:AE28 AE27 AC31:AE31 AE29:AE30 AD24:AE24 AC19:AC23 AD19:AE20 AA19:AA20 AB19:AB23 Z19:Z20 Z14:AA14 AA23 AA31:AB31 AA21 AA25:AB26 AA15 AB15 AA32:AB32 AA34:AB37 AA33:AB33 AA22 AA24:AB24 AA27:AB30 Z15 X29:Z30 X24:Z24 Z21 Z22 Z34:Z37 X36:Y37 X34:Y34 X20:Y22 Z8:AA11 X15:Y15 X7:AF7 X16:AC16 X12:AF13 X8:Y11 AB8:AF11 X23:Z23 AI22:AK22 AI21:AK21 X25:Z26 X31:Z31 X27:Z28 X33:Z33 X32:Z32 AH25:AK26 AH31:AK31 AI23:AK23 X14:Y14 AB14:AF14 X19:Y19 AI20:AK20 AI19:AK19 AI24:AK24 AH30:AK30 AH27:AK27 AI28:AK28 AI34:AK34 AI36:AK37 AI35:AK35 AH32:AK32 AI33:AK33 AI15:AK15 X17:AB18 AH17:AK18 AH16:AK16 AI7:AK7 AI12:AK13 AI8:AK11 AI14:AK14 AI29:AK29 AL24:AL37"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AQ90"/>
  <sheetViews>
    <sheetView showGridLines="0" view="pageBreakPreview" zoomScale="80" zoomScaleSheetLayoutView="80" zoomScalePageLayoutView="0" workbookViewId="0" topLeftCell="A1">
      <pane xSplit="1" topLeftCell="W1" activePane="topRight" state="frozen"/>
      <selection pane="topLeft" activeCell="B2" sqref="B2:B3"/>
      <selection pane="topRight" activeCell="A10" sqref="A10:A11"/>
    </sheetView>
  </sheetViews>
  <sheetFormatPr defaultColWidth="9.00390625" defaultRowHeight="12.75"/>
  <cols>
    <col min="1" max="1" width="72.00390625" style="0" customWidth="1"/>
    <col min="2" max="29" width="8.75390625" style="0" customWidth="1"/>
    <col min="30" max="30" width="9.00390625" style="0" customWidth="1"/>
    <col min="31" max="37" width="9.125" style="0" customWidth="1"/>
  </cols>
  <sheetData>
    <row r="1" spans="1:30" ht="12.75">
      <c r="A1" s="2"/>
      <c r="B1" s="4"/>
      <c r="C1" s="4"/>
      <c r="D1" s="4"/>
      <c r="E1" s="4"/>
      <c r="F1" s="4"/>
      <c r="G1" s="4"/>
      <c r="H1" s="4"/>
      <c r="I1" s="4"/>
      <c r="J1" s="3"/>
      <c r="K1" s="3"/>
      <c r="L1" s="3"/>
      <c r="M1" s="3"/>
      <c r="N1" s="3"/>
      <c r="O1" s="3"/>
      <c r="P1" s="3"/>
      <c r="Q1" s="3"/>
      <c r="R1" s="3"/>
      <c r="S1" s="3"/>
      <c r="T1" s="3"/>
      <c r="U1" s="3"/>
      <c r="V1" s="3"/>
      <c r="W1" s="3"/>
      <c r="X1" s="3"/>
      <c r="Y1" s="3"/>
      <c r="Z1" s="3"/>
      <c r="AA1" s="3"/>
      <c r="AB1" s="3"/>
      <c r="AC1" s="3"/>
      <c r="AD1" s="3"/>
    </row>
    <row r="2" spans="1:30" ht="12.75">
      <c r="A2" s="2"/>
      <c r="B2" s="4"/>
      <c r="C2" s="4"/>
      <c r="D2" s="4"/>
      <c r="E2" s="4"/>
      <c r="F2" s="4"/>
      <c r="G2" s="4"/>
      <c r="H2" s="4"/>
      <c r="I2" s="4"/>
      <c r="J2" s="3"/>
      <c r="K2" s="3"/>
      <c r="L2" s="3"/>
      <c r="M2" s="3"/>
      <c r="N2" s="3"/>
      <c r="O2" s="3"/>
      <c r="P2" s="3"/>
      <c r="Q2" s="3"/>
      <c r="R2" s="3"/>
      <c r="S2" s="3"/>
      <c r="T2" s="3"/>
      <c r="U2" s="3"/>
      <c r="V2" s="3"/>
      <c r="W2" s="3"/>
      <c r="X2" s="3"/>
      <c r="Y2" s="3"/>
      <c r="Z2" s="3"/>
      <c r="AA2" s="3"/>
      <c r="AB2" s="3"/>
      <c r="AC2" s="3"/>
      <c r="AD2" s="3"/>
    </row>
    <row r="3" spans="1:30" ht="12.75">
      <c r="A3" s="99" t="s">
        <v>261</v>
      </c>
      <c r="B3" s="4"/>
      <c r="C3" s="4"/>
      <c r="D3" s="4"/>
      <c r="E3" s="4"/>
      <c r="F3" s="4"/>
      <c r="G3" s="4"/>
      <c r="H3" s="4"/>
      <c r="I3" s="4"/>
      <c r="J3" s="3"/>
      <c r="K3" s="3"/>
      <c r="L3" s="3"/>
      <c r="M3" s="3"/>
      <c r="N3" s="3"/>
      <c r="O3" s="3"/>
      <c r="P3" s="3"/>
      <c r="Q3" s="3"/>
      <c r="R3" s="3"/>
      <c r="S3" s="3"/>
      <c r="T3" s="3"/>
      <c r="U3" s="3"/>
      <c r="V3" s="3"/>
      <c r="W3" s="3"/>
      <c r="X3" s="3"/>
      <c r="Y3" s="3"/>
      <c r="Z3" s="3"/>
      <c r="AA3" s="3"/>
      <c r="AB3" s="3"/>
      <c r="AC3" s="3"/>
      <c r="AD3" s="3"/>
    </row>
    <row r="4" spans="1:30" ht="12.75">
      <c r="A4" s="2"/>
      <c r="B4" s="4"/>
      <c r="C4" s="4"/>
      <c r="D4" s="4"/>
      <c r="E4" s="4"/>
      <c r="F4" s="4"/>
      <c r="G4" s="4"/>
      <c r="H4" s="4"/>
      <c r="I4" s="4"/>
      <c r="J4" s="3"/>
      <c r="K4" s="3"/>
      <c r="L4" s="3"/>
      <c r="M4" s="3"/>
      <c r="N4" s="3"/>
      <c r="O4" s="3"/>
      <c r="P4" s="3"/>
      <c r="Q4" s="3"/>
      <c r="R4" s="3"/>
      <c r="S4" s="3"/>
      <c r="T4" s="3"/>
      <c r="U4" s="3"/>
      <c r="V4" s="3"/>
      <c r="W4" s="3"/>
      <c r="X4" s="3"/>
      <c r="Y4" s="3"/>
      <c r="Z4" s="3"/>
      <c r="AA4" s="3"/>
      <c r="AB4" s="3"/>
      <c r="AC4" s="3"/>
      <c r="AD4" s="3"/>
    </row>
    <row r="5" spans="1:30" ht="12.75">
      <c r="A5" s="2"/>
      <c r="B5" s="4"/>
      <c r="C5" s="4"/>
      <c r="D5" s="4"/>
      <c r="E5" s="4"/>
      <c r="F5" s="4"/>
      <c r="G5" s="4"/>
      <c r="H5" s="4"/>
      <c r="I5" s="4"/>
      <c r="J5" s="3"/>
      <c r="K5" s="3"/>
      <c r="L5" s="3"/>
      <c r="M5" s="3"/>
      <c r="N5" s="3"/>
      <c r="O5" s="3"/>
      <c r="P5" s="3"/>
      <c r="Q5" s="3"/>
      <c r="R5" s="3"/>
      <c r="S5" s="3"/>
      <c r="T5" s="3"/>
      <c r="U5" s="3"/>
      <c r="V5" s="3"/>
      <c r="W5" s="3"/>
      <c r="X5" s="3"/>
      <c r="Y5" s="3"/>
      <c r="Z5" s="3"/>
      <c r="AA5" s="3"/>
      <c r="AB5" s="3"/>
      <c r="AC5" s="3"/>
      <c r="AD5" s="3"/>
    </row>
    <row r="6" spans="1:30" ht="12.75">
      <c r="A6" s="2"/>
      <c r="B6" s="4"/>
      <c r="C6" s="4"/>
      <c r="D6" s="4"/>
      <c r="E6" s="4"/>
      <c r="F6" s="4"/>
      <c r="G6" s="4"/>
      <c r="H6" s="4"/>
      <c r="I6" s="4"/>
      <c r="J6" s="3"/>
      <c r="K6" s="3"/>
      <c r="L6" s="3"/>
      <c r="M6" s="3"/>
      <c r="N6" s="3"/>
      <c r="O6" s="3"/>
      <c r="P6" s="3"/>
      <c r="Q6" s="3"/>
      <c r="R6" s="3"/>
      <c r="S6" s="3"/>
      <c r="T6" s="3"/>
      <c r="U6" s="3"/>
      <c r="V6" s="3"/>
      <c r="W6" s="3"/>
      <c r="X6" s="3"/>
      <c r="Y6" s="3"/>
      <c r="Z6" s="3"/>
      <c r="AA6" s="3"/>
      <c r="AB6" s="3"/>
      <c r="AC6" s="3"/>
      <c r="AD6" s="3"/>
    </row>
    <row r="7" spans="1:30" ht="12.75">
      <c r="A7" s="2"/>
      <c r="B7" s="4"/>
      <c r="C7" s="4"/>
      <c r="D7" s="4"/>
      <c r="E7" s="4"/>
      <c r="F7" s="4"/>
      <c r="G7" s="4"/>
      <c r="H7" s="4"/>
      <c r="I7" s="4"/>
      <c r="J7" s="3"/>
      <c r="K7" s="3"/>
      <c r="L7" s="3"/>
      <c r="M7" s="3"/>
      <c r="N7" s="3"/>
      <c r="O7" s="3"/>
      <c r="P7" s="3"/>
      <c r="Q7" s="3"/>
      <c r="R7" s="3"/>
      <c r="S7" s="3"/>
      <c r="T7" s="3"/>
      <c r="U7" s="3"/>
      <c r="V7" s="3"/>
      <c r="W7" s="3"/>
      <c r="X7" s="3"/>
      <c r="Y7" s="3"/>
      <c r="Z7" s="3"/>
      <c r="AA7" s="3"/>
      <c r="AB7" s="3"/>
      <c r="AC7" s="3"/>
      <c r="AD7" s="3"/>
    </row>
    <row r="8" spans="1:30" s="144" customFormat="1" ht="12.75">
      <c r="A8" s="2"/>
      <c r="B8" s="4"/>
      <c r="C8" s="4"/>
      <c r="D8" s="4"/>
      <c r="E8" s="4"/>
      <c r="F8" s="4"/>
      <c r="G8" s="4"/>
      <c r="H8" s="4"/>
      <c r="I8" s="4"/>
      <c r="J8" s="3"/>
      <c r="K8" s="3"/>
      <c r="L8" s="3"/>
      <c r="M8" s="3"/>
      <c r="N8" s="3"/>
      <c r="O8" s="3"/>
      <c r="P8" s="3"/>
      <c r="Q8" s="3"/>
      <c r="R8" s="3"/>
      <c r="S8" s="3"/>
      <c r="T8" s="3"/>
      <c r="U8" s="3"/>
      <c r="V8" s="3"/>
      <c r="W8" s="3"/>
      <c r="X8" s="3"/>
      <c r="Y8" s="3"/>
      <c r="Z8" s="3"/>
      <c r="AA8" s="3"/>
      <c r="AB8" s="3"/>
      <c r="AC8" s="3"/>
      <c r="AD8" s="3"/>
    </row>
    <row r="9" spans="1:30" s="144" customFormat="1" ht="15.75">
      <c r="A9" s="324" t="s">
        <v>281</v>
      </c>
      <c r="B9" s="4"/>
      <c r="C9" s="4"/>
      <c r="D9" s="4"/>
      <c r="E9" s="4"/>
      <c r="F9" s="4"/>
      <c r="G9" s="4"/>
      <c r="H9" s="4"/>
      <c r="I9" s="4"/>
      <c r="J9" s="3"/>
      <c r="K9" s="3"/>
      <c r="L9" s="3"/>
      <c r="M9" s="3"/>
      <c r="N9" s="3"/>
      <c r="O9" s="3"/>
      <c r="P9" s="3"/>
      <c r="Q9" s="3"/>
      <c r="R9" s="3"/>
      <c r="S9" s="3"/>
      <c r="T9" s="3"/>
      <c r="U9" s="3"/>
      <c r="V9" s="3"/>
      <c r="W9" s="3"/>
      <c r="X9" s="3"/>
      <c r="Y9" s="3"/>
      <c r="Z9" s="3"/>
      <c r="AA9" s="3"/>
      <c r="AB9" s="3"/>
      <c r="AC9" s="3"/>
      <c r="AD9" s="3"/>
    </row>
    <row r="10" spans="1:43" s="144" customFormat="1" ht="11.25" customHeight="1">
      <c r="A10" s="332" t="s">
        <v>349</v>
      </c>
      <c r="B10" s="334">
        <v>2007</v>
      </c>
      <c r="C10" s="335"/>
      <c r="D10" s="335"/>
      <c r="E10" s="335"/>
      <c r="F10" s="334">
        <v>2008</v>
      </c>
      <c r="G10" s="335"/>
      <c r="H10" s="335"/>
      <c r="I10" s="335"/>
      <c r="J10" s="334">
        <v>2009</v>
      </c>
      <c r="K10" s="335"/>
      <c r="L10" s="335"/>
      <c r="M10" s="335"/>
      <c r="N10" s="334">
        <v>2010</v>
      </c>
      <c r="O10" s="335"/>
      <c r="P10" s="335"/>
      <c r="Q10" s="335"/>
      <c r="R10" s="334">
        <v>2011</v>
      </c>
      <c r="S10" s="335"/>
      <c r="T10" s="335"/>
      <c r="U10" s="335"/>
      <c r="V10" s="334">
        <v>2012</v>
      </c>
      <c r="W10" s="335"/>
      <c r="X10" s="335"/>
      <c r="Y10" s="337"/>
      <c r="Z10" s="334">
        <v>2013</v>
      </c>
      <c r="AA10" s="335"/>
      <c r="AB10" s="335"/>
      <c r="AC10" s="337"/>
      <c r="AD10" s="334">
        <v>2014</v>
      </c>
      <c r="AE10" s="335"/>
      <c r="AF10" s="335"/>
      <c r="AG10" s="337"/>
      <c r="AH10" s="340">
        <v>2015</v>
      </c>
      <c r="AI10" s="335"/>
      <c r="AJ10" s="335"/>
      <c r="AK10" s="336"/>
      <c r="AL10" s="340">
        <v>2016</v>
      </c>
      <c r="AM10" s="335"/>
      <c r="AN10" s="335"/>
      <c r="AO10" s="336"/>
      <c r="AP10" s="346">
        <v>2017</v>
      </c>
      <c r="AQ10" s="347"/>
    </row>
    <row r="11" spans="1:43" s="144" customFormat="1" ht="11.25" customHeight="1">
      <c r="A11" s="333"/>
      <c r="B11" s="34" t="s">
        <v>0</v>
      </c>
      <c r="C11" s="35" t="s">
        <v>1</v>
      </c>
      <c r="D11" s="35" t="s">
        <v>2</v>
      </c>
      <c r="E11" s="35" t="s">
        <v>3</v>
      </c>
      <c r="F11" s="34" t="s">
        <v>0</v>
      </c>
      <c r="G11" s="35" t="s">
        <v>1</v>
      </c>
      <c r="H11" s="35" t="s">
        <v>2</v>
      </c>
      <c r="I11" s="36" t="s">
        <v>3</v>
      </c>
      <c r="J11" s="34" t="s">
        <v>0</v>
      </c>
      <c r="K11" s="35" t="s">
        <v>1</v>
      </c>
      <c r="L11" s="35" t="s">
        <v>2</v>
      </c>
      <c r="M11" s="36" t="s">
        <v>3</v>
      </c>
      <c r="N11" s="34" t="s">
        <v>0</v>
      </c>
      <c r="O11" s="35" t="s">
        <v>1</v>
      </c>
      <c r="P11" s="35" t="s">
        <v>2</v>
      </c>
      <c r="Q11" s="36" t="s">
        <v>3</v>
      </c>
      <c r="R11" s="34" t="s">
        <v>0</v>
      </c>
      <c r="S11" s="35" t="s">
        <v>1</v>
      </c>
      <c r="T11" s="35" t="s">
        <v>2</v>
      </c>
      <c r="U11" s="36" t="s">
        <v>3</v>
      </c>
      <c r="V11" s="34" t="s">
        <v>0</v>
      </c>
      <c r="W11" s="35" t="s">
        <v>1</v>
      </c>
      <c r="X11" s="35" t="s">
        <v>2</v>
      </c>
      <c r="Y11" s="36" t="s">
        <v>3</v>
      </c>
      <c r="Z11" s="191" t="s">
        <v>0</v>
      </c>
      <c r="AA11" s="191" t="s">
        <v>1</v>
      </c>
      <c r="AB11" s="191" t="s">
        <v>2</v>
      </c>
      <c r="AC11" s="36" t="s">
        <v>3</v>
      </c>
      <c r="AD11" s="190" t="s">
        <v>0</v>
      </c>
      <c r="AE11" s="191" t="s">
        <v>1</v>
      </c>
      <c r="AF11" s="191" t="s">
        <v>2</v>
      </c>
      <c r="AG11" s="192" t="s">
        <v>3</v>
      </c>
      <c r="AH11" s="191" t="s">
        <v>0</v>
      </c>
      <c r="AI11" s="191" t="s">
        <v>1</v>
      </c>
      <c r="AJ11" s="191" t="s">
        <v>2</v>
      </c>
      <c r="AK11" s="192" t="s">
        <v>3</v>
      </c>
      <c r="AL11" s="191" t="s">
        <v>0</v>
      </c>
      <c r="AM11" s="191" t="s">
        <v>1</v>
      </c>
      <c r="AN11" s="191" t="s">
        <v>2</v>
      </c>
      <c r="AO11" s="192" t="s">
        <v>3</v>
      </c>
      <c r="AP11" s="191" t="s">
        <v>0</v>
      </c>
      <c r="AQ11" s="191" t="s">
        <v>1</v>
      </c>
    </row>
    <row r="12" spans="1:43" s="144" customFormat="1" ht="12.75" customHeight="1">
      <c r="A12" s="20" t="s">
        <v>5</v>
      </c>
      <c r="B12" s="16"/>
      <c r="C12" s="6"/>
      <c r="D12" s="5"/>
      <c r="E12" s="6"/>
      <c r="F12" s="16"/>
      <c r="G12" s="6"/>
      <c r="H12" s="5"/>
      <c r="I12" s="17"/>
      <c r="J12" s="16"/>
      <c r="K12" s="6"/>
      <c r="L12" s="5"/>
      <c r="M12" s="17"/>
      <c r="N12" s="16"/>
      <c r="O12" s="6"/>
      <c r="P12" s="5"/>
      <c r="Q12" s="17"/>
      <c r="R12" s="294"/>
      <c r="S12" s="295"/>
      <c r="T12" s="296"/>
      <c r="U12" s="297"/>
      <c r="V12" s="294"/>
      <c r="W12" s="296"/>
      <c r="X12" s="296"/>
      <c r="Y12" s="298"/>
      <c r="Z12" s="296"/>
      <c r="AA12" s="296"/>
      <c r="AB12" s="296"/>
      <c r="AC12" s="298"/>
      <c r="AD12" s="294"/>
      <c r="AE12" s="296"/>
      <c r="AF12" s="296"/>
      <c r="AG12" s="298"/>
      <c r="AH12" s="296"/>
      <c r="AI12" s="296"/>
      <c r="AJ12" s="296"/>
      <c r="AK12" s="298"/>
      <c r="AL12" s="296"/>
      <c r="AM12" s="296"/>
      <c r="AN12" s="296"/>
      <c r="AO12" s="298"/>
      <c r="AP12" s="296"/>
      <c r="AQ12" s="296"/>
    </row>
    <row r="13" spans="1:43" s="220" customFormat="1" ht="14.25">
      <c r="A13" s="216" t="s">
        <v>262</v>
      </c>
      <c r="B13" s="217"/>
      <c r="C13" s="218"/>
      <c r="D13" s="218"/>
      <c r="E13" s="219"/>
      <c r="F13" s="217"/>
      <c r="G13" s="218"/>
      <c r="H13" s="218"/>
      <c r="I13" s="219"/>
      <c r="J13" s="218"/>
      <c r="K13" s="218"/>
      <c r="L13" s="218"/>
      <c r="M13" s="218"/>
      <c r="N13" s="217"/>
      <c r="O13" s="218"/>
      <c r="P13" s="218"/>
      <c r="Q13" s="219"/>
      <c r="R13" s="299"/>
      <c r="S13" s="299"/>
      <c r="T13" s="299"/>
      <c r="U13" s="299"/>
      <c r="V13" s="300"/>
      <c r="W13" s="299"/>
      <c r="X13" s="299"/>
      <c r="Y13" s="301"/>
      <c r="Z13" s="299"/>
      <c r="AA13" s="299"/>
      <c r="AB13" s="299"/>
      <c r="AC13" s="298"/>
      <c r="AD13" s="294"/>
      <c r="AE13" s="296"/>
      <c r="AF13" s="296"/>
      <c r="AG13" s="298"/>
      <c r="AH13" s="296"/>
      <c r="AI13" s="296"/>
      <c r="AJ13" s="296"/>
      <c r="AK13" s="298"/>
      <c r="AL13" s="296"/>
      <c r="AM13" s="296"/>
      <c r="AN13" s="296"/>
      <c r="AO13" s="298"/>
      <c r="AP13" s="296"/>
      <c r="AQ13" s="296"/>
    </row>
    <row r="14" spans="1:43" ht="12.75">
      <c r="A14" s="148" t="s">
        <v>221</v>
      </c>
      <c r="B14" s="149">
        <f aca="true" t="shared" si="0" ref="B14:AC14">SUM(B15,B28,B30)</f>
        <v>3928.2000000000003</v>
      </c>
      <c r="C14" s="150">
        <f t="shared" si="0"/>
        <v>3650.9</v>
      </c>
      <c r="D14" s="150">
        <f t="shared" si="0"/>
        <v>3822.1</v>
      </c>
      <c r="E14" s="151">
        <f t="shared" si="0"/>
        <v>3840.5</v>
      </c>
      <c r="F14" s="149">
        <f t="shared" si="0"/>
        <v>4015.399999999999</v>
      </c>
      <c r="G14" s="150">
        <f t="shared" si="0"/>
        <v>3979.2999999999993</v>
      </c>
      <c r="H14" s="150">
        <f t="shared" si="0"/>
        <v>4279.7</v>
      </c>
      <c r="I14" s="151">
        <f t="shared" si="0"/>
        <v>4224.499999999999</v>
      </c>
      <c r="J14" s="150">
        <f t="shared" si="0"/>
        <v>4283.199999999999</v>
      </c>
      <c r="K14" s="280">
        <f t="shared" si="0"/>
        <v>4516.9</v>
      </c>
      <c r="L14" s="280">
        <f t="shared" si="0"/>
        <v>4744.400000000001</v>
      </c>
      <c r="M14" s="280">
        <f t="shared" si="0"/>
        <v>4886.7</v>
      </c>
      <c r="N14" s="278">
        <f t="shared" si="0"/>
        <v>5134</v>
      </c>
      <c r="O14" s="280">
        <f t="shared" si="0"/>
        <v>5282.400000000001</v>
      </c>
      <c r="P14" s="280">
        <f t="shared" si="0"/>
        <v>5531.9</v>
      </c>
      <c r="Q14" s="282">
        <f t="shared" si="0"/>
        <v>5653.099999999999</v>
      </c>
      <c r="R14" s="280">
        <f t="shared" si="0"/>
        <v>5784.299999999999</v>
      </c>
      <c r="S14" s="280">
        <f t="shared" si="0"/>
        <v>5953.8</v>
      </c>
      <c r="T14" s="280">
        <f t="shared" si="0"/>
        <v>6196.899999999999</v>
      </c>
      <c r="U14" s="280">
        <f t="shared" si="0"/>
        <v>6416</v>
      </c>
      <c r="V14" s="278">
        <f t="shared" si="0"/>
        <v>6753.400000000001</v>
      </c>
      <c r="W14" s="280">
        <f t="shared" si="0"/>
        <v>6981.1</v>
      </c>
      <c r="X14" s="280">
        <f t="shared" si="0"/>
        <v>7427.199999999999</v>
      </c>
      <c r="Y14" s="282">
        <f t="shared" si="0"/>
        <v>8136.1</v>
      </c>
      <c r="Z14" s="280">
        <f t="shared" si="0"/>
        <v>8238.8</v>
      </c>
      <c r="AA14" s="280">
        <f t="shared" si="0"/>
        <v>8133.499999999999</v>
      </c>
      <c r="AB14" s="280">
        <f t="shared" si="0"/>
        <v>8271.5</v>
      </c>
      <c r="AC14" s="282">
        <f t="shared" si="0"/>
        <v>8628.599999999999</v>
      </c>
      <c r="AD14" s="278">
        <f aca="true" t="shared" si="1" ref="AD14:AI14">SUM(AD15,AD28,AD30)</f>
        <v>8887.9</v>
      </c>
      <c r="AE14" s="280">
        <f t="shared" si="1"/>
        <v>9161.1</v>
      </c>
      <c r="AF14" s="280">
        <f t="shared" si="1"/>
        <v>9934.2</v>
      </c>
      <c r="AG14" s="282">
        <f t="shared" si="1"/>
        <v>10456.6</v>
      </c>
      <c r="AH14" s="280">
        <f t="shared" si="1"/>
        <v>10232.1</v>
      </c>
      <c r="AI14" s="280">
        <f t="shared" si="1"/>
        <v>9558.699999999999</v>
      </c>
      <c r="AJ14" s="280">
        <f aca="true" t="shared" si="2" ref="AJ14:AP14">SUM(AJ15,AJ28,AJ30)</f>
        <v>10304.399999999998</v>
      </c>
      <c r="AK14" s="282">
        <f t="shared" si="2"/>
        <v>10680.499999999998</v>
      </c>
      <c r="AL14" s="280">
        <f t="shared" si="2"/>
        <v>10670.100000000002</v>
      </c>
      <c r="AM14" s="280">
        <f t="shared" si="2"/>
        <v>10812.6</v>
      </c>
      <c r="AN14" s="280">
        <f t="shared" si="2"/>
        <v>10979</v>
      </c>
      <c r="AO14" s="282">
        <f t="shared" si="2"/>
        <v>10477.2</v>
      </c>
      <c r="AP14" s="280">
        <f t="shared" si="2"/>
        <v>10789.4</v>
      </c>
      <c r="AQ14" s="280">
        <f>SUM(AQ15,AQ28,AQ30)</f>
        <v>11154.1</v>
      </c>
    </row>
    <row r="15" spans="1:43" ht="12.75">
      <c r="A15" s="148" t="s">
        <v>229</v>
      </c>
      <c r="B15" s="149">
        <f aca="true" t="shared" si="3" ref="B15:AC15">SUM(B16:B27)</f>
        <v>3147.3</v>
      </c>
      <c r="C15" s="150">
        <f t="shared" si="3"/>
        <v>3315.7</v>
      </c>
      <c r="D15" s="150">
        <f t="shared" si="3"/>
        <v>3288.8999999999996</v>
      </c>
      <c r="E15" s="151">
        <f t="shared" si="3"/>
        <v>3209.7999999999997</v>
      </c>
      <c r="F15" s="149">
        <f t="shared" si="3"/>
        <v>3570.6999999999994</v>
      </c>
      <c r="G15" s="150">
        <f t="shared" si="3"/>
        <v>3539.7999999999993</v>
      </c>
      <c r="H15" s="150">
        <f t="shared" si="3"/>
        <v>4054.1</v>
      </c>
      <c r="I15" s="151">
        <f t="shared" si="3"/>
        <v>4083.3999999999996</v>
      </c>
      <c r="J15" s="150">
        <f t="shared" si="3"/>
        <v>4102.2</v>
      </c>
      <c r="K15" s="280">
        <f t="shared" si="3"/>
        <v>4177.9</v>
      </c>
      <c r="L15" s="280">
        <f t="shared" si="3"/>
        <v>4465.900000000001</v>
      </c>
      <c r="M15" s="280">
        <f t="shared" si="3"/>
        <v>4485.400000000001</v>
      </c>
      <c r="N15" s="278">
        <f t="shared" si="3"/>
        <v>4822.400000000001</v>
      </c>
      <c r="O15" s="280">
        <f t="shared" si="3"/>
        <v>4818.500000000001</v>
      </c>
      <c r="P15" s="280">
        <f t="shared" si="3"/>
        <v>5191.599999999999</v>
      </c>
      <c r="Q15" s="282">
        <f t="shared" si="3"/>
        <v>5191.499999999999</v>
      </c>
      <c r="R15" s="280">
        <f t="shared" si="3"/>
        <v>5332.499999999999</v>
      </c>
      <c r="S15" s="280">
        <f t="shared" si="3"/>
        <v>5383.3</v>
      </c>
      <c r="T15" s="280">
        <f t="shared" si="3"/>
        <v>5819.499999999999</v>
      </c>
      <c r="U15" s="280">
        <f t="shared" si="3"/>
        <v>5817.2</v>
      </c>
      <c r="V15" s="278">
        <f t="shared" si="3"/>
        <v>6259.900000000001</v>
      </c>
      <c r="W15" s="280">
        <f t="shared" si="3"/>
        <v>6528.3</v>
      </c>
      <c r="X15" s="280">
        <f t="shared" si="3"/>
        <v>6700.299999999999</v>
      </c>
      <c r="Y15" s="282">
        <f t="shared" si="3"/>
        <v>6699.900000000001</v>
      </c>
      <c r="Z15" s="280">
        <f t="shared" si="3"/>
        <v>7093</v>
      </c>
      <c r="AA15" s="280">
        <f t="shared" si="3"/>
        <v>7043.999999999999</v>
      </c>
      <c r="AB15" s="280">
        <f t="shared" si="3"/>
        <v>7544.3</v>
      </c>
      <c r="AC15" s="282">
        <f t="shared" si="3"/>
        <v>7460.499999999999</v>
      </c>
      <c r="AD15" s="278">
        <f aca="true" t="shared" si="4" ref="AD15:AI15">SUM(AD16:AD27)</f>
        <v>7046.299999999999</v>
      </c>
      <c r="AE15" s="280">
        <f t="shared" si="4"/>
        <v>7453.3</v>
      </c>
      <c r="AF15" s="280">
        <f t="shared" si="4"/>
        <v>7492.4</v>
      </c>
      <c r="AG15" s="282">
        <f t="shared" si="4"/>
        <v>7491.5</v>
      </c>
      <c r="AH15" s="280">
        <f t="shared" si="4"/>
        <v>7939.3</v>
      </c>
      <c r="AI15" s="280">
        <f t="shared" si="4"/>
        <v>7955.899999999999</v>
      </c>
      <c r="AJ15" s="280">
        <f aca="true" t="shared" si="5" ref="AJ15:AP15">SUM(AJ16:AJ27)</f>
        <v>8213.099999999999</v>
      </c>
      <c r="AK15" s="282">
        <f t="shared" si="5"/>
        <v>8250.499999999998</v>
      </c>
      <c r="AL15" s="280">
        <f t="shared" si="5"/>
        <v>8558.900000000001</v>
      </c>
      <c r="AM15" s="280">
        <f t="shared" si="5"/>
        <v>8624.2</v>
      </c>
      <c r="AN15" s="280">
        <f t="shared" si="5"/>
        <v>8937.5</v>
      </c>
      <c r="AO15" s="282">
        <f t="shared" si="5"/>
        <v>8899.2</v>
      </c>
      <c r="AP15" s="280">
        <f t="shared" si="5"/>
        <v>8909.699999999999</v>
      </c>
      <c r="AQ15" s="280">
        <f>SUM(AQ16:AQ27)</f>
        <v>9882.6</v>
      </c>
    </row>
    <row r="16" spans="1:43" s="156" customFormat="1" ht="12.75">
      <c r="A16" s="152" t="s">
        <v>222</v>
      </c>
      <c r="B16" s="153">
        <v>130.1</v>
      </c>
      <c r="C16" s="154">
        <v>130.1</v>
      </c>
      <c r="D16" s="154">
        <v>130.1</v>
      </c>
      <c r="E16" s="155">
        <v>130.1</v>
      </c>
      <c r="F16" s="153">
        <v>130.1</v>
      </c>
      <c r="G16" s="154">
        <v>130.1</v>
      </c>
      <c r="H16" s="154">
        <v>130.1</v>
      </c>
      <c r="I16" s="155">
        <v>130.1</v>
      </c>
      <c r="J16" s="154">
        <v>130.1</v>
      </c>
      <c r="K16" s="160">
        <v>130.1</v>
      </c>
      <c r="L16" s="160">
        <v>130.1</v>
      </c>
      <c r="M16" s="160">
        <v>130.1</v>
      </c>
      <c r="N16" s="159">
        <v>130.1</v>
      </c>
      <c r="O16" s="160">
        <v>130.1</v>
      </c>
      <c r="P16" s="160">
        <v>130.1</v>
      </c>
      <c r="Q16" s="161">
        <v>130.1</v>
      </c>
      <c r="R16" s="160">
        <v>130.1</v>
      </c>
      <c r="S16" s="160">
        <v>130.1</v>
      </c>
      <c r="T16" s="160">
        <v>130.1</v>
      </c>
      <c r="U16" s="160">
        <v>130.1</v>
      </c>
      <c r="V16" s="159">
        <v>130.1</v>
      </c>
      <c r="W16" s="160">
        <v>130.10000000000002</v>
      </c>
      <c r="X16" s="160">
        <v>130.10000000000002</v>
      </c>
      <c r="Y16" s="161">
        <v>130.10000000000002</v>
      </c>
      <c r="Z16" s="160">
        <v>130.10000000000002</v>
      </c>
      <c r="AA16" s="160">
        <v>130.10000000000002</v>
      </c>
      <c r="AB16" s="160">
        <v>130.10000000000002</v>
      </c>
      <c r="AC16" s="161">
        <v>130.10000000000002</v>
      </c>
      <c r="AD16" s="159">
        <v>130.10000000000002</v>
      </c>
      <c r="AE16" s="160">
        <v>130.10000000000002</v>
      </c>
      <c r="AF16" s="160">
        <v>130.1</v>
      </c>
      <c r="AG16" s="161">
        <v>130.1</v>
      </c>
      <c r="AH16" s="160">
        <v>130.1</v>
      </c>
      <c r="AI16" s="160">
        <v>130.1</v>
      </c>
      <c r="AJ16" s="160">
        <v>130.1</v>
      </c>
      <c r="AK16" s="161">
        <v>130.1</v>
      </c>
      <c r="AL16" s="160">
        <v>130.1</v>
      </c>
      <c r="AM16" s="160">
        <v>130.1</v>
      </c>
      <c r="AN16" s="160">
        <v>130.1</v>
      </c>
      <c r="AO16" s="161">
        <v>130.1</v>
      </c>
      <c r="AP16" s="160">
        <v>130.1</v>
      </c>
      <c r="AQ16" s="160">
        <v>130.1</v>
      </c>
    </row>
    <row r="17" spans="1:43" s="156" customFormat="1" ht="12.75">
      <c r="A17" s="152" t="s">
        <v>223</v>
      </c>
      <c r="B17" s="153">
        <v>956.3</v>
      </c>
      <c r="C17" s="154">
        <v>956.3</v>
      </c>
      <c r="D17" s="154">
        <v>956.3</v>
      </c>
      <c r="E17" s="155">
        <v>956.3</v>
      </c>
      <c r="F17" s="153">
        <v>956.3</v>
      </c>
      <c r="G17" s="154">
        <v>956.3</v>
      </c>
      <c r="H17" s="154">
        <v>956.3</v>
      </c>
      <c r="I17" s="155">
        <v>956.3</v>
      </c>
      <c r="J17" s="154">
        <v>956.3</v>
      </c>
      <c r="K17" s="160">
        <v>956.3</v>
      </c>
      <c r="L17" s="160">
        <v>956.3</v>
      </c>
      <c r="M17" s="160">
        <v>956.3</v>
      </c>
      <c r="N17" s="159">
        <v>956.3</v>
      </c>
      <c r="O17" s="160">
        <v>956.3</v>
      </c>
      <c r="P17" s="160">
        <v>956.3</v>
      </c>
      <c r="Q17" s="161">
        <v>956.3</v>
      </c>
      <c r="R17" s="160">
        <v>956.3</v>
      </c>
      <c r="S17" s="160">
        <v>956.3</v>
      </c>
      <c r="T17" s="160">
        <v>956.3</v>
      </c>
      <c r="U17" s="160">
        <v>956.3</v>
      </c>
      <c r="V17" s="159">
        <v>956.3</v>
      </c>
      <c r="W17" s="160">
        <v>956.3</v>
      </c>
      <c r="X17" s="160">
        <v>956.3</v>
      </c>
      <c r="Y17" s="161">
        <v>956.3</v>
      </c>
      <c r="Z17" s="160">
        <v>956.3</v>
      </c>
      <c r="AA17" s="160">
        <v>956.3</v>
      </c>
      <c r="AB17" s="160">
        <v>956.3</v>
      </c>
      <c r="AC17" s="161">
        <v>956.3</v>
      </c>
      <c r="AD17" s="159">
        <v>956.3</v>
      </c>
      <c r="AE17" s="160">
        <v>956.3</v>
      </c>
      <c r="AF17" s="160">
        <v>956.3</v>
      </c>
      <c r="AG17" s="161">
        <v>956.3</v>
      </c>
      <c r="AH17" s="160">
        <v>956.3</v>
      </c>
      <c r="AI17" s="160">
        <v>956.3</v>
      </c>
      <c r="AJ17" s="160">
        <v>956.3</v>
      </c>
      <c r="AK17" s="161">
        <v>956.3</v>
      </c>
      <c r="AL17" s="160">
        <v>956.3</v>
      </c>
      <c r="AM17" s="160">
        <v>956.3</v>
      </c>
      <c r="AN17" s="160">
        <v>956.3</v>
      </c>
      <c r="AO17" s="161">
        <v>956.3</v>
      </c>
      <c r="AP17" s="160">
        <v>956.3</v>
      </c>
      <c r="AQ17" s="160">
        <v>956.3</v>
      </c>
    </row>
    <row r="18" spans="1:43" s="156" customFormat="1" ht="12.75">
      <c r="A18" s="152" t="s">
        <v>224</v>
      </c>
      <c r="B18" s="153">
        <v>61.1</v>
      </c>
      <c r="C18" s="154">
        <v>73.4</v>
      </c>
      <c r="D18" s="154">
        <v>73.4</v>
      </c>
      <c r="E18" s="155">
        <v>73.8</v>
      </c>
      <c r="F18" s="153">
        <v>73.8</v>
      </c>
      <c r="G18" s="154">
        <v>73.9</v>
      </c>
      <c r="H18" s="154">
        <v>73.9</v>
      </c>
      <c r="I18" s="155">
        <v>74.9</v>
      </c>
      <c r="J18" s="154">
        <v>74.9</v>
      </c>
      <c r="K18" s="160">
        <v>74.9</v>
      </c>
      <c r="L18" s="160">
        <v>74.9</v>
      </c>
      <c r="M18" s="160">
        <v>74.9</v>
      </c>
      <c r="N18" s="159">
        <v>74.9</v>
      </c>
      <c r="O18" s="160">
        <v>75</v>
      </c>
      <c r="P18" s="160">
        <v>75</v>
      </c>
      <c r="Q18" s="161">
        <v>75.1</v>
      </c>
      <c r="R18" s="160">
        <v>75.1</v>
      </c>
      <c r="S18" s="160">
        <v>75.2</v>
      </c>
      <c r="T18" s="160">
        <v>75.2</v>
      </c>
      <c r="U18" s="160">
        <v>75.4</v>
      </c>
      <c r="V18" s="159">
        <v>75.5</v>
      </c>
      <c r="W18" s="160">
        <v>96.39999999999998</v>
      </c>
      <c r="X18" s="160">
        <v>96.59999999999997</v>
      </c>
      <c r="Y18" s="161">
        <v>96.69999999999999</v>
      </c>
      <c r="Z18" s="160">
        <v>96.69999999999999</v>
      </c>
      <c r="AA18" s="160">
        <v>136.8</v>
      </c>
      <c r="AB18" s="160">
        <v>136.8</v>
      </c>
      <c r="AC18" s="161">
        <v>136.8</v>
      </c>
      <c r="AD18" s="159">
        <v>140.9</v>
      </c>
      <c r="AE18" s="160">
        <v>149.1</v>
      </c>
      <c r="AF18" s="160">
        <v>148.8</v>
      </c>
      <c r="AG18" s="161">
        <v>148.99999999999994</v>
      </c>
      <c r="AH18" s="160">
        <v>175.00000000000003</v>
      </c>
      <c r="AI18" s="160">
        <v>184.39999999999998</v>
      </c>
      <c r="AJ18" s="160">
        <v>184.39999999999998</v>
      </c>
      <c r="AK18" s="161">
        <v>184.39999999999998</v>
      </c>
      <c r="AL18" s="160">
        <v>184.39999999999998</v>
      </c>
      <c r="AM18" s="160">
        <v>226.29999999999998</v>
      </c>
      <c r="AN18" s="160">
        <v>226.29999999999998</v>
      </c>
      <c r="AO18" s="161">
        <v>226.3</v>
      </c>
      <c r="AP18" s="322">
        <v>226.3</v>
      </c>
      <c r="AQ18" s="160">
        <v>271.2</v>
      </c>
    </row>
    <row r="19" spans="1:43" s="156" customFormat="1" ht="12.75">
      <c r="A19" s="152" t="s">
        <v>225</v>
      </c>
      <c r="B19" s="153">
        <v>1359.5</v>
      </c>
      <c r="C19" s="154">
        <v>1506</v>
      </c>
      <c r="D19" s="154">
        <v>1506</v>
      </c>
      <c r="E19" s="155">
        <v>1506</v>
      </c>
      <c r="F19" s="153">
        <v>1506</v>
      </c>
      <c r="G19" s="154">
        <v>1763.9</v>
      </c>
      <c r="H19" s="154">
        <v>1763.9</v>
      </c>
      <c r="I19" s="155">
        <v>1763.9</v>
      </c>
      <c r="J19" s="154">
        <v>1763.9</v>
      </c>
      <c r="K19" s="160">
        <v>2159.5</v>
      </c>
      <c r="L19" s="160">
        <v>2159.5</v>
      </c>
      <c r="M19" s="160">
        <v>2159.5</v>
      </c>
      <c r="N19" s="159">
        <v>2159.5</v>
      </c>
      <c r="O19" s="160">
        <v>2681.6</v>
      </c>
      <c r="P19" s="160">
        <v>2681.6</v>
      </c>
      <c r="Q19" s="161">
        <v>2681.6</v>
      </c>
      <c r="R19" s="160">
        <v>2681.6</v>
      </c>
      <c r="S19" s="160">
        <v>3139.8</v>
      </c>
      <c r="T19" s="160">
        <v>3139.8</v>
      </c>
      <c r="U19" s="160">
        <v>3139.8</v>
      </c>
      <c r="V19" s="159">
        <v>3139.8</v>
      </c>
      <c r="W19" s="160">
        <v>4004.3999999999996</v>
      </c>
      <c r="X19" s="160">
        <v>4004.3999999999996</v>
      </c>
      <c r="Y19" s="161">
        <v>4004.3999999999996</v>
      </c>
      <c r="Z19" s="160">
        <v>4004.3999999999996</v>
      </c>
      <c r="AA19" s="160">
        <v>4715.099999999999</v>
      </c>
      <c r="AB19" s="160">
        <v>4715.099999999999</v>
      </c>
      <c r="AC19" s="161">
        <v>4715.099999999999</v>
      </c>
      <c r="AD19" s="159">
        <v>4715.099999999999</v>
      </c>
      <c r="AE19" s="160">
        <v>5012.8</v>
      </c>
      <c r="AF19" s="160">
        <v>5012.8</v>
      </c>
      <c r="AG19" s="161">
        <v>5012.8</v>
      </c>
      <c r="AH19" s="160">
        <v>5510.3</v>
      </c>
      <c r="AI19" s="160">
        <v>5510.4</v>
      </c>
      <c r="AJ19" s="160">
        <v>5510.4</v>
      </c>
      <c r="AK19" s="161">
        <v>5510.4</v>
      </c>
      <c r="AL19" s="160">
        <v>6134.8</v>
      </c>
      <c r="AM19" s="160">
        <v>6090</v>
      </c>
      <c r="AN19" s="160">
        <v>6090</v>
      </c>
      <c r="AO19" s="161">
        <v>6090</v>
      </c>
      <c r="AP19" s="322">
        <v>6090</v>
      </c>
      <c r="AQ19" s="160">
        <v>7243.7</v>
      </c>
    </row>
    <row r="20" spans="1:43" s="156" customFormat="1" ht="12.75">
      <c r="A20" s="152" t="s">
        <v>226</v>
      </c>
      <c r="B20" s="153">
        <v>480.2</v>
      </c>
      <c r="C20" s="154">
        <v>530.2</v>
      </c>
      <c r="D20" s="154">
        <v>530.2</v>
      </c>
      <c r="E20" s="155">
        <v>530.2</v>
      </c>
      <c r="F20" s="153">
        <v>530.2</v>
      </c>
      <c r="G20" s="154">
        <v>730.2</v>
      </c>
      <c r="H20" s="154">
        <v>730.2</v>
      </c>
      <c r="I20" s="155">
        <v>730.2</v>
      </c>
      <c r="J20" s="154">
        <v>730.2</v>
      </c>
      <c r="K20" s="160">
        <v>790.2</v>
      </c>
      <c r="L20" s="160">
        <v>790.2</v>
      </c>
      <c r="M20" s="160">
        <v>790.2</v>
      </c>
      <c r="N20" s="159">
        <v>790.2</v>
      </c>
      <c r="O20" s="160">
        <v>850.2</v>
      </c>
      <c r="P20" s="160">
        <v>850.2</v>
      </c>
      <c r="Q20" s="161">
        <v>850.2</v>
      </c>
      <c r="R20" s="160">
        <v>850.2</v>
      </c>
      <c r="S20" s="160">
        <v>910.2</v>
      </c>
      <c r="T20" s="160">
        <v>910.2</v>
      </c>
      <c r="U20" s="160">
        <v>910.1</v>
      </c>
      <c r="V20" s="159">
        <v>910.1</v>
      </c>
      <c r="W20" s="160">
        <v>960.2</v>
      </c>
      <c r="X20" s="160">
        <v>960.2</v>
      </c>
      <c r="Y20" s="161">
        <v>960.2</v>
      </c>
      <c r="Z20" s="160">
        <v>960.2</v>
      </c>
      <c r="AA20" s="160">
        <v>1010.2</v>
      </c>
      <c r="AB20" s="160">
        <v>1010.2</v>
      </c>
      <c r="AC20" s="161">
        <v>1010.2</v>
      </c>
      <c r="AD20" s="159">
        <v>1010.2</v>
      </c>
      <c r="AE20" s="160">
        <v>1060.2</v>
      </c>
      <c r="AF20" s="160">
        <v>1060.2</v>
      </c>
      <c r="AG20" s="161">
        <v>1060.2</v>
      </c>
      <c r="AH20" s="160">
        <v>1110.2</v>
      </c>
      <c r="AI20" s="160">
        <v>1110.2</v>
      </c>
      <c r="AJ20" s="160">
        <v>1110.2</v>
      </c>
      <c r="AK20" s="161">
        <v>1110.2</v>
      </c>
      <c r="AL20" s="160">
        <v>1160.2</v>
      </c>
      <c r="AM20" s="160">
        <v>1160.2</v>
      </c>
      <c r="AN20" s="160">
        <v>1160.2</v>
      </c>
      <c r="AO20" s="161">
        <v>1160.2</v>
      </c>
      <c r="AP20" s="322">
        <v>1160.2</v>
      </c>
      <c r="AQ20" s="160">
        <v>1215.2</v>
      </c>
    </row>
    <row r="21" spans="1:43" s="157" customFormat="1" ht="12.75">
      <c r="A21" s="152" t="s">
        <v>355</v>
      </c>
      <c r="B21" s="159" t="s">
        <v>214</v>
      </c>
      <c r="C21" s="160" t="s">
        <v>214</v>
      </c>
      <c r="D21" s="160" t="s">
        <v>214</v>
      </c>
      <c r="E21" s="161" t="s">
        <v>214</v>
      </c>
      <c r="F21" s="159" t="s">
        <v>214</v>
      </c>
      <c r="G21" s="160" t="s">
        <v>214</v>
      </c>
      <c r="H21" s="160" t="s">
        <v>214</v>
      </c>
      <c r="I21" s="161" t="s">
        <v>214</v>
      </c>
      <c r="J21" s="160" t="s">
        <v>214</v>
      </c>
      <c r="K21" s="160" t="s">
        <v>214</v>
      </c>
      <c r="L21" s="160" t="s">
        <v>214</v>
      </c>
      <c r="M21" s="160" t="s">
        <v>214</v>
      </c>
      <c r="N21" s="159" t="s">
        <v>214</v>
      </c>
      <c r="O21" s="160" t="s">
        <v>214</v>
      </c>
      <c r="P21" s="160" t="s">
        <v>214</v>
      </c>
      <c r="Q21" s="161" t="s">
        <v>214</v>
      </c>
      <c r="R21" s="160" t="s">
        <v>214</v>
      </c>
      <c r="S21" s="160" t="s">
        <v>214</v>
      </c>
      <c r="T21" s="160" t="s">
        <v>214</v>
      </c>
      <c r="U21" s="160" t="s">
        <v>214</v>
      </c>
      <c r="V21" s="159" t="s">
        <v>214</v>
      </c>
      <c r="W21" s="160" t="s">
        <v>214</v>
      </c>
      <c r="X21" s="160" t="s">
        <v>214</v>
      </c>
      <c r="Y21" s="161" t="s">
        <v>214</v>
      </c>
      <c r="Z21" s="160" t="s">
        <v>214</v>
      </c>
      <c r="AA21" s="160" t="s">
        <v>214</v>
      </c>
      <c r="AB21" s="160" t="s">
        <v>214</v>
      </c>
      <c r="AC21" s="161" t="s">
        <v>214</v>
      </c>
      <c r="AD21" s="159" t="s">
        <v>214</v>
      </c>
      <c r="AE21" s="160" t="s">
        <v>214</v>
      </c>
      <c r="AF21" s="160" t="s">
        <v>214</v>
      </c>
      <c r="AG21" s="161" t="s">
        <v>214</v>
      </c>
      <c r="AH21" s="160" t="s">
        <v>214</v>
      </c>
      <c r="AI21" s="160" t="s">
        <v>214</v>
      </c>
      <c r="AJ21" s="160" t="s">
        <v>214</v>
      </c>
      <c r="AK21" s="161" t="s">
        <v>214</v>
      </c>
      <c r="AL21" s="160">
        <v>49.6</v>
      </c>
      <c r="AM21" s="160">
        <v>50.4</v>
      </c>
      <c r="AN21" s="160">
        <v>50.5</v>
      </c>
      <c r="AO21" s="161">
        <v>50.6</v>
      </c>
      <c r="AP21" s="322">
        <v>50.7</v>
      </c>
      <c r="AQ21" s="160">
        <v>50.7</v>
      </c>
    </row>
    <row r="22" spans="1:43" s="156" customFormat="1" ht="12.75">
      <c r="A22" s="152" t="s">
        <v>227</v>
      </c>
      <c r="B22" s="153">
        <v>82.10000000000014</v>
      </c>
      <c r="C22" s="154">
        <v>102.20000000000005</v>
      </c>
      <c r="D22" s="154">
        <v>103.70000000000005</v>
      </c>
      <c r="E22" s="155">
        <v>103.29999999999995</v>
      </c>
      <c r="F22" s="153">
        <f>581.4-478.5</f>
        <v>102.89999999999998</v>
      </c>
      <c r="G22" s="154">
        <v>124.19999999999982</v>
      </c>
      <c r="H22" s="154">
        <v>124.29999999999995</v>
      </c>
      <c r="I22" s="155">
        <v>123.89999999999986</v>
      </c>
      <c r="J22" s="154">
        <f>569.3-445.4</f>
        <v>123.89999999999998</v>
      </c>
      <c r="K22" s="160">
        <v>127.90000000000009</v>
      </c>
      <c r="L22" s="160">
        <v>128.70000000000027</v>
      </c>
      <c r="M22" s="160">
        <v>113.80000000000018</v>
      </c>
      <c r="N22" s="159">
        <f>709.1-595.1</f>
        <v>114</v>
      </c>
      <c r="O22" s="160">
        <v>126.90000000000009</v>
      </c>
      <c r="P22" s="160">
        <v>127</v>
      </c>
      <c r="Q22" s="161">
        <v>126.90000000000009</v>
      </c>
      <c r="R22" s="160">
        <f>686.9-558</f>
        <v>128.89999999999998</v>
      </c>
      <c r="S22" s="160">
        <v>169.4000000000001</v>
      </c>
      <c r="T22" s="160">
        <v>170.5</v>
      </c>
      <c r="U22" s="160">
        <v>172.79999999999973</v>
      </c>
      <c r="V22" s="159">
        <f>1047.1-880.1</f>
        <v>166.9999999999999</v>
      </c>
      <c r="W22" s="160">
        <v>112.6</v>
      </c>
      <c r="X22" s="160">
        <v>112.9</v>
      </c>
      <c r="Y22" s="161">
        <v>112.8</v>
      </c>
      <c r="Z22" s="160">
        <f>945.1-832.3</f>
        <v>112.80000000000007</v>
      </c>
      <c r="AA22" s="160">
        <v>144.8</v>
      </c>
      <c r="AB22" s="160">
        <v>145.1</v>
      </c>
      <c r="AC22" s="161">
        <v>145.89999999999998</v>
      </c>
      <c r="AD22" s="159">
        <v>113.5</v>
      </c>
      <c r="AE22" s="160">
        <v>148.6</v>
      </c>
      <c r="AF22" s="160">
        <v>185</v>
      </c>
      <c r="AG22" s="161">
        <v>186.59999999999997</v>
      </c>
      <c r="AH22" s="160">
        <v>98.29999999999998</v>
      </c>
      <c r="AI22" s="160">
        <v>123.3</v>
      </c>
      <c r="AJ22" s="160">
        <v>124.5</v>
      </c>
      <c r="AK22" s="161">
        <v>126.8</v>
      </c>
      <c r="AL22" s="160">
        <v>-34.7</v>
      </c>
      <c r="AM22" s="160">
        <v>39.2</v>
      </c>
      <c r="AN22" s="160">
        <v>39.2</v>
      </c>
      <c r="AO22" s="161">
        <v>39.2</v>
      </c>
      <c r="AP22" s="322">
        <v>22.8</v>
      </c>
      <c r="AQ22" s="160">
        <v>34.9</v>
      </c>
    </row>
    <row r="23" spans="1:43" s="157" customFormat="1" ht="12.75">
      <c r="A23" s="152" t="s">
        <v>322</v>
      </c>
      <c r="B23" s="153">
        <v>0</v>
      </c>
      <c r="C23" s="154">
        <v>0</v>
      </c>
      <c r="D23" s="154">
        <v>0</v>
      </c>
      <c r="E23" s="155">
        <v>0</v>
      </c>
      <c r="F23" s="153">
        <f>630.7-152.2</f>
        <v>478.50000000000006</v>
      </c>
      <c r="G23" s="154">
        <v>0</v>
      </c>
      <c r="H23" s="154">
        <v>0</v>
      </c>
      <c r="I23" s="155">
        <v>0</v>
      </c>
      <c r="J23" s="154">
        <v>445.4</v>
      </c>
      <c r="K23" s="160">
        <v>0</v>
      </c>
      <c r="L23" s="160">
        <v>0</v>
      </c>
      <c r="M23" s="160">
        <v>0</v>
      </c>
      <c r="N23" s="159">
        <v>595.1</v>
      </c>
      <c r="O23" s="160">
        <v>0</v>
      </c>
      <c r="P23" s="160">
        <v>0</v>
      </c>
      <c r="Q23" s="161">
        <v>0</v>
      </c>
      <c r="R23" s="160">
        <v>558</v>
      </c>
      <c r="S23" s="160">
        <v>0</v>
      </c>
      <c r="T23" s="160">
        <v>0</v>
      </c>
      <c r="U23" s="160">
        <v>0</v>
      </c>
      <c r="V23" s="159">
        <v>880.1</v>
      </c>
      <c r="W23" s="160">
        <v>0</v>
      </c>
      <c r="X23" s="160">
        <v>0</v>
      </c>
      <c r="Y23" s="161">
        <v>0</v>
      </c>
      <c r="Z23" s="160">
        <v>832.3</v>
      </c>
      <c r="AA23" s="160">
        <v>0</v>
      </c>
      <c r="AB23" s="160">
        <v>0</v>
      </c>
      <c r="AC23" s="161">
        <v>0</v>
      </c>
      <c r="AD23" s="159">
        <v>0</v>
      </c>
      <c r="AE23" s="160">
        <v>0</v>
      </c>
      <c r="AF23" s="160">
        <v>0</v>
      </c>
      <c r="AG23" s="161">
        <v>0</v>
      </c>
      <c r="AH23" s="160">
        <v>0</v>
      </c>
      <c r="AI23" s="160" t="s">
        <v>214</v>
      </c>
      <c r="AJ23" s="160" t="s">
        <v>214</v>
      </c>
      <c r="AK23" s="161" t="s">
        <v>214</v>
      </c>
      <c r="AL23" s="160">
        <v>0</v>
      </c>
      <c r="AM23" s="160">
        <v>0</v>
      </c>
      <c r="AN23" s="160">
        <v>0</v>
      </c>
      <c r="AO23" s="161">
        <v>0</v>
      </c>
      <c r="AP23" s="160">
        <v>0</v>
      </c>
      <c r="AQ23" s="160">
        <v>0</v>
      </c>
    </row>
    <row r="24" spans="1:43" s="157" customFormat="1" ht="12.75">
      <c r="A24" s="152" t="s">
        <v>234</v>
      </c>
      <c r="B24" s="153">
        <v>0</v>
      </c>
      <c r="C24" s="154">
        <v>0</v>
      </c>
      <c r="D24" s="154">
        <v>0</v>
      </c>
      <c r="E24" s="155">
        <v>0</v>
      </c>
      <c r="F24" s="153">
        <v>0</v>
      </c>
      <c r="G24" s="154">
        <v>0</v>
      </c>
      <c r="H24" s="154">
        <v>407.5</v>
      </c>
      <c r="I24" s="155">
        <v>407.5</v>
      </c>
      <c r="J24" s="154">
        <v>0</v>
      </c>
      <c r="K24" s="160">
        <v>0</v>
      </c>
      <c r="L24" s="160">
        <v>263.5</v>
      </c>
      <c r="M24" s="160">
        <v>263.5</v>
      </c>
      <c r="N24" s="159">
        <v>0</v>
      </c>
      <c r="O24" s="160">
        <v>0</v>
      </c>
      <c r="P24" s="160">
        <v>369</v>
      </c>
      <c r="Q24" s="161">
        <v>369</v>
      </c>
      <c r="R24" s="160">
        <v>0</v>
      </c>
      <c r="S24" s="160">
        <v>0</v>
      </c>
      <c r="T24" s="160">
        <v>446.4</v>
      </c>
      <c r="U24" s="160">
        <v>446.4</v>
      </c>
      <c r="V24" s="159">
        <v>0</v>
      </c>
      <c r="W24" s="160">
        <v>271.50000000000006</v>
      </c>
      <c r="X24" s="160">
        <v>439.1</v>
      </c>
      <c r="Y24" s="161">
        <v>439.1</v>
      </c>
      <c r="Z24" s="160">
        <v>0</v>
      </c>
      <c r="AA24" s="160">
        <v>0</v>
      </c>
      <c r="AB24" s="160">
        <v>476.59999999999997</v>
      </c>
      <c r="AC24" s="161">
        <v>389.1</v>
      </c>
      <c r="AD24" s="159">
        <v>0</v>
      </c>
      <c r="AE24" s="160">
        <v>0</v>
      </c>
      <c r="AF24" s="160">
        <v>0</v>
      </c>
      <c r="AG24" s="161">
        <v>0</v>
      </c>
      <c r="AH24" s="160">
        <v>0</v>
      </c>
      <c r="AI24" s="160" t="s">
        <v>214</v>
      </c>
      <c r="AJ24" s="160">
        <v>305.5</v>
      </c>
      <c r="AK24" s="161">
        <v>305.5</v>
      </c>
      <c r="AL24" s="160">
        <v>0</v>
      </c>
      <c r="AM24" s="160">
        <v>0</v>
      </c>
      <c r="AN24" s="160">
        <v>308.5</v>
      </c>
      <c r="AO24" s="161">
        <v>308.5</v>
      </c>
      <c r="AP24" s="160">
        <v>308.5</v>
      </c>
      <c r="AQ24" s="160">
        <v>0</v>
      </c>
    </row>
    <row r="25" spans="1:43" s="157" customFormat="1" ht="12.75">
      <c r="A25" s="152" t="s">
        <v>246</v>
      </c>
      <c r="B25" s="153">
        <v>25.9</v>
      </c>
      <c r="C25" s="154">
        <v>28.9</v>
      </c>
      <c r="D25" s="154">
        <v>1.7</v>
      </c>
      <c r="E25" s="155">
        <v>1.7</v>
      </c>
      <c r="F25" s="153">
        <v>1.7</v>
      </c>
      <c r="G25" s="154">
        <v>1.7</v>
      </c>
      <c r="H25" s="154">
        <v>1.8</v>
      </c>
      <c r="I25" s="155">
        <v>2.3</v>
      </c>
      <c r="J25" s="154">
        <v>2.3</v>
      </c>
      <c r="K25" s="160">
        <v>2.3</v>
      </c>
      <c r="L25" s="160">
        <v>2.3</v>
      </c>
      <c r="M25" s="160">
        <v>2.3</v>
      </c>
      <c r="N25" s="159">
        <v>2.3</v>
      </c>
      <c r="O25" s="160">
        <v>2.3</v>
      </c>
      <c r="P25" s="160">
        <v>2.4</v>
      </c>
      <c r="Q25" s="161">
        <v>2.3</v>
      </c>
      <c r="R25" s="160">
        <v>2.3</v>
      </c>
      <c r="S25" s="160">
        <v>2.3</v>
      </c>
      <c r="T25" s="160">
        <v>2.3</v>
      </c>
      <c r="U25" s="160">
        <v>2.3</v>
      </c>
      <c r="V25" s="159">
        <v>2.3</v>
      </c>
      <c r="W25" s="160">
        <v>2.3</v>
      </c>
      <c r="X25" s="160">
        <v>2.2999999999999994</v>
      </c>
      <c r="Y25" s="161">
        <v>2.3</v>
      </c>
      <c r="Z25" s="160">
        <v>2.3</v>
      </c>
      <c r="AA25" s="160">
        <v>2.3000000000000003</v>
      </c>
      <c r="AB25" s="160">
        <v>2.2999999999999994</v>
      </c>
      <c r="AC25" s="161">
        <v>2.3000000000000003</v>
      </c>
      <c r="AD25" s="159" t="s">
        <v>214</v>
      </c>
      <c r="AE25" s="160">
        <v>0</v>
      </c>
      <c r="AF25" s="160">
        <v>0</v>
      </c>
      <c r="AG25" s="161">
        <v>0</v>
      </c>
      <c r="AH25" s="160">
        <v>0</v>
      </c>
      <c r="AI25" s="160" t="s">
        <v>214</v>
      </c>
      <c r="AJ25" s="160" t="s">
        <v>214</v>
      </c>
      <c r="AK25" s="161" t="s">
        <v>214</v>
      </c>
      <c r="AL25" s="160">
        <v>0</v>
      </c>
      <c r="AM25" s="160">
        <v>0</v>
      </c>
      <c r="AN25" s="160">
        <v>0</v>
      </c>
      <c r="AO25" s="161">
        <v>0</v>
      </c>
      <c r="AP25" s="160">
        <v>0</v>
      </c>
      <c r="AQ25" s="160">
        <v>0</v>
      </c>
    </row>
    <row r="26" spans="1:43" s="157" customFormat="1" ht="22.5">
      <c r="A26" s="158" t="s">
        <v>228</v>
      </c>
      <c r="B26" s="153">
        <v>0</v>
      </c>
      <c r="C26" s="154">
        <v>-65.10000000000001</v>
      </c>
      <c r="D26" s="154">
        <v>-76.9</v>
      </c>
      <c r="E26" s="155">
        <v>-149.6</v>
      </c>
      <c r="F26" s="153">
        <v>-163.5</v>
      </c>
      <c r="G26" s="154">
        <v>-240.5</v>
      </c>
      <c r="H26" s="154">
        <v>-133.9</v>
      </c>
      <c r="I26" s="155">
        <v>-105.7</v>
      </c>
      <c r="J26" s="154">
        <v>-124.8</v>
      </c>
      <c r="K26" s="160">
        <v>-63.3</v>
      </c>
      <c r="L26" s="160">
        <v>-39.6</v>
      </c>
      <c r="M26" s="160">
        <v>-5.2</v>
      </c>
      <c r="N26" s="159">
        <v>0</v>
      </c>
      <c r="O26" s="160">
        <v>-3.9</v>
      </c>
      <c r="P26" s="160">
        <v>0</v>
      </c>
      <c r="Q26" s="161">
        <v>0</v>
      </c>
      <c r="R26" s="160">
        <v>-50</v>
      </c>
      <c r="S26" s="160">
        <v>0</v>
      </c>
      <c r="T26" s="160">
        <v>-11.3</v>
      </c>
      <c r="U26" s="160">
        <v>-16</v>
      </c>
      <c r="V26" s="159">
        <v>-1.3</v>
      </c>
      <c r="W26" s="160">
        <v>-5.5</v>
      </c>
      <c r="X26" s="160">
        <v>-1.6</v>
      </c>
      <c r="Y26" s="161">
        <v>-2</v>
      </c>
      <c r="Z26" s="160">
        <v>-2.1</v>
      </c>
      <c r="AA26" s="160">
        <v>-51.6</v>
      </c>
      <c r="AB26" s="160">
        <v>-28.2</v>
      </c>
      <c r="AC26" s="161">
        <v>-25.3</v>
      </c>
      <c r="AD26" s="159">
        <v>-19.8</v>
      </c>
      <c r="AE26" s="160">
        <v>-3.8000000000000114</v>
      </c>
      <c r="AF26" s="160">
        <v>-0.8</v>
      </c>
      <c r="AG26" s="161">
        <v>-3.5</v>
      </c>
      <c r="AH26" s="160">
        <v>-40.9</v>
      </c>
      <c r="AI26" s="160">
        <v>-58.8</v>
      </c>
      <c r="AJ26" s="160">
        <v>-108.3</v>
      </c>
      <c r="AK26" s="161">
        <v>-73.2</v>
      </c>
      <c r="AL26" s="160">
        <v>-21.8</v>
      </c>
      <c r="AM26" s="160">
        <v>-28.3</v>
      </c>
      <c r="AN26" s="160">
        <v>-23.6</v>
      </c>
      <c r="AO26" s="161">
        <v>-62</v>
      </c>
      <c r="AP26" s="160">
        <v>-35.2</v>
      </c>
      <c r="AQ26" s="160">
        <v>-19.5</v>
      </c>
    </row>
    <row r="27" spans="1:43" s="157" customFormat="1" ht="12.75">
      <c r="A27" s="158" t="s">
        <v>252</v>
      </c>
      <c r="B27" s="153">
        <v>52.1</v>
      </c>
      <c r="C27" s="154">
        <v>53.7</v>
      </c>
      <c r="D27" s="154">
        <v>64.4</v>
      </c>
      <c r="E27" s="155">
        <v>58</v>
      </c>
      <c r="F27" s="159">
        <v>-45.3</v>
      </c>
      <c r="G27" s="160" t="s">
        <v>214</v>
      </c>
      <c r="H27" s="160" t="s">
        <v>214</v>
      </c>
      <c r="I27" s="161" t="s">
        <v>214</v>
      </c>
      <c r="J27" s="160" t="s">
        <v>214</v>
      </c>
      <c r="K27" s="160" t="s">
        <v>214</v>
      </c>
      <c r="L27" s="160" t="s">
        <v>214</v>
      </c>
      <c r="M27" s="160" t="s">
        <v>214</v>
      </c>
      <c r="N27" s="159" t="s">
        <v>214</v>
      </c>
      <c r="O27" s="160" t="s">
        <v>214</v>
      </c>
      <c r="P27" s="160" t="s">
        <v>214</v>
      </c>
      <c r="Q27" s="161" t="s">
        <v>214</v>
      </c>
      <c r="R27" s="160" t="s">
        <v>214</v>
      </c>
      <c r="S27" s="160" t="s">
        <v>214</v>
      </c>
      <c r="T27" s="160" t="s">
        <v>214</v>
      </c>
      <c r="U27" s="161" t="s">
        <v>214</v>
      </c>
      <c r="V27" s="160" t="s">
        <v>214</v>
      </c>
      <c r="W27" s="160" t="s">
        <v>214</v>
      </c>
      <c r="X27" s="160" t="s">
        <v>214</v>
      </c>
      <c r="Y27" s="161" t="s">
        <v>214</v>
      </c>
      <c r="Z27" s="160" t="s">
        <v>214</v>
      </c>
      <c r="AA27" s="160" t="s">
        <v>214</v>
      </c>
      <c r="AB27" s="160" t="s">
        <v>214</v>
      </c>
      <c r="AC27" s="161" t="s">
        <v>214</v>
      </c>
      <c r="AD27" s="159" t="s">
        <v>214</v>
      </c>
      <c r="AE27" s="160" t="s">
        <v>214</v>
      </c>
      <c r="AF27" s="160" t="s">
        <v>214</v>
      </c>
      <c r="AG27" s="161" t="s">
        <v>214</v>
      </c>
      <c r="AH27" s="160" t="s">
        <v>214</v>
      </c>
      <c r="AI27" s="160" t="s">
        <v>214</v>
      </c>
      <c r="AJ27" s="160" t="s">
        <v>214</v>
      </c>
      <c r="AK27" s="161" t="s">
        <v>214</v>
      </c>
      <c r="AL27" s="160" t="s">
        <v>214</v>
      </c>
      <c r="AM27" s="160" t="s">
        <v>214</v>
      </c>
      <c r="AN27" s="160" t="s">
        <v>214</v>
      </c>
      <c r="AO27" s="161" t="s">
        <v>214</v>
      </c>
      <c r="AP27" s="326" t="s">
        <v>214</v>
      </c>
      <c r="AQ27" s="326" t="s">
        <v>214</v>
      </c>
    </row>
    <row r="28" spans="1:43" s="275" customFormat="1" ht="12.75">
      <c r="A28" s="148" t="s">
        <v>323</v>
      </c>
      <c r="B28" s="149">
        <f aca="true" t="shared" si="6" ref="B28:P28">SUM(B29)</f>
        <v>24.1</v>
      </c>
      <c r="C28" s="150">
        <f t="shared" si="6"/>
        <v>0</v>
      </c>
      <c r="D28" s="150">
        <f t="shared" si="6"/>
        <v>0</v>
      </c>
      <c r="E28" s="151">
        <f t="shared" si="6"/>
        <v>0</v>
      </c>
      <c r="F28" s="149">
        <f t="shared" si="6"/>
        <v>9.7</v>
      </c>
      <c r="G28" s="150">
        <f t="shared" si="6"/>
        <v>0.9</v>
      </c>
      <c r="H28" s="150">
        <f t="shared" si="6"/>
        <v>3.9</v>
      </c>
      <c r="I28" s="151">
        <f t="shared" si="6"/>
        <v>4.7</v>
      </c>
      <c r="J28" s="150">
        <f t="shared" si="6"/>
        <v>3.4</v>
      </c>
      <c r="K28" s="280">
        <f t="shared" si="6"/>
        <v>1.8</v>
      </c>
      <c r="L28" s="280">
        <f t="shared" si="6"/>
        <v>1.8</v>
      </c>
      <c r="M28" s="280">
        <f t="shared" si="6"/>
        <v>2.8</v>
      </c>
      <c r="N28" s="278">
        <f t="shared" si="6"/>
        <v>2.7</v>
      </c>
      <c r="O28" s="280">
        <f t="shared" si="6"/>
        <v>0</v>
      </c>
      <c r="P28" s="280">
        <f t="shared" si="6"/>
        <v>31.7</v>
      </c>
      <c r="Q28" s="282">
        <f>SUM(Q29)</f>
        <v>8.1</v>
      </c>
      <c r="R28" s="280">
        <f>SUM(R29)</f>
        <v>3.8</v>
      </c>
      <c r="S28" s="280">
        <f>SUM(S29)</f>
        <v>44.6</v>
      </c>
      <c r="T28" s="280">
        <f>SUM(T29)</f>
        <v>16.8</v>
      </c>
      <c r="U28" s="280">
        <f>SUM(U29)</f>
        <v>33.3</v>
      </c>
      <c r="V28" s="278">
        <f aca="true" t="shared" si="7" ref="V28:AQ28">SUM(V29)</f>
        <v>100</v>
      </c>
      <c r="W28" s="280">
        <f t="shared" si="7"/>
        <v>127.3</v>
      </c>
      <c r="X28" s="280">
        <f t="shared" si="7"/>
        <v>289</v>
      </c>
      <c r="Y28" s="282">
        <f t="shared" si="7"/>
        <v>585.4</v>
      </c>
      <c r="Z28" s="280">
        <f t="shared" si="7"/>
        <v>418.8</v>
      </c>
      <c r="AA28" s="280">
        <f t="shared" si="7"/>
        <v>295.2</v>
      </c>
      <c r="AB28" s="280">
        <f t="shared" si="7"/>
        <v>212</v>
      </c>
      <c r="AC28" s="282">
        <f t="shared" si="7"/>
        <v>295.3</v>
      </c>
      <c r="AD28" s="278">
        <f t="shared" si="7"/>
        <v>0</v>
      </c>
      <c r="AE28" s="280">
        <f t="shared" si="7"/>
        <v>0</v>
      </c>
      <c r="AF28" s="280">
        <f t="shared" si="7"/>
        <v>0</v>
      </c>
      <c r="AG28" s="282">
        <f t="shared" si="7"/>
        <v>0</v>
      </c>
      <c r="AH28" s="280">
        <f t="shared" si="7"/>
        <v>253.3</v>
      </c>
      <c r="AI28" s="280">
        <f t="shared" si="7"/>
        <v>169.8</v>
      </c>
      <c r="AJ28" s="280">
        <f t="shared" si="7"/>
        <v>172.9</v>
      </c>
      <c r="AK28" s="282">
        <f t="shared" si="7"/>
        <v>228.6</v>
      </c>
      <c r="AL28" s="280">
        <f t="shared" si="7"/>
        <v>334.2</v>
      </c>
      <c r="AM28" s="280">
        <f t="shared" si="7"/>
        <v>221.3</v>
      </c>
      <c r="AN28" s="280">
        <f t="shared" si="7"/>
        <v>212.6</v>
      </c>
      <c r="AO28" s="282">
        <f t="shared" si="7"/>
        <v>170.7</v>
      </c>
      <c r="AP28" s="280">
        <f t="shared" si="7"/>
        <v>217.7</v>
      </c>
      <c r="AQ28" s="280">
        <f t="shared" si="7"/>
        <v>232.5</v>
      </c>
    </row>
    <row r="29" spans="1:43" s="157" customFormat="1" ht="22.5">
      <c r="A29" s="158" t="s">
        <v>228</v>
      </c>
      <c r="B29" s="153">
        <v>24.1</v>
      </c>
      <c r="C29" s="154">
        <v>0</v>
      </c>
      <c r="D29" s="154">
        <v>0</v>
      </c>
      <c r="E29" s="155">
        <v>0</v>
      </c>
      <c r="F29" s="153">
        <v>9.7</v>
      </c>
      <c r="G29" s="154">
        <v>0.9</v>
      </c>
      <c r="H29" s="154">
        <v>3.9</v>
      </c>
      <c r="I29" s="155">
        <v>4.7</v>
      </c>
      <c r="J29" s="154">
        <v>3.4</v>
      </c>
      <c r="K29" s="160">
        <v>1.8</v>
      </c>
      <c r="L29" s="160">
        <v>1.8</v>
      </c>
      <c r="M29" s="160">
        <v>2.8</v>
      </c>
      <c r="N29" s="159">
        <v>2.7</v>
      </c>
      <c r="O29" s="160">
        <v>0</v>
      </c>
      <c r="P29" s="160">
        <v>31.7</v>
      </c>
      <c r="Q29" s="161">
        <v>8.1</v>
      </c>
      <c r="R29" s="160">
        <v>3.8</v>
      </c>
      <c r="S29" s="160">
        <v>44.6</v>
      </c>
      <c r="T29" s="160">
        <v>16.8</v>
      </c>
      <c r="U29" s="160">
        <v>33.3</v>
      </c>
      <c r="V29" s="159">
        <v>100</v>
      </c>
      <c r="W29" s="160">
        <v>127.3</v>
      </c>
      <c r="X29" s="160">
        <v>289</v>
      </c>
      <c r="Y29" s="161">
        <v>585.4</v>
      </c>
      <c r="Z29" s="160">
        <v>418.8</v>
      </c>
      <c r="AA29" s="160">
        <v>295.2</v>
      </c>
      <c r="AB29" s="160">
        <v>212</v>
      </c>
      <c r="AC29" s="161">
        <v>295.3</v>
      </c>
      <c r="AD29" s="159" t="s">
        <v>214</v>
      </c>
      <c r="AE29" s="160" t="s">
        <v>214</v>
      </c>
      <c r="AF29" s="160" t="s">
        <v>214</v>
      </c>
      <c r="AG29" s="161" t="s">
        <v>214</v>
      </c>
      <c r="AH29" s="160">
        <v>253.3</v>
      </c>
      <c r="AI29" s="160">
        <v>169.8</v>
      </c>
      <c r="AJ29" s="160">
        <v>172.9</v>
      </c>
      <c r="AK29" s="161">
        <v>228.6</v>
      </c>
      <c r="AL29" s="160">
        <v>334.2</v>
      </c>
      <c r="AM29" s="160">
        <v>221.3</v>
      </c>
      <c r="AN29" s="160">
        <v>212.6</v>
      </c>
      <c r="AO29" s="161">
        <v>170.7</v>
      </c>
      <c r="AP29" s="160">
        <v>217.7</v>
      </c>
      <c r="AQ29" s="160">
        <v>232.5</v>
      </c>
    </row>
    <row r="30" spans="1:43" s="275" customFormat="1" ht="12.75">
      <c r="A30" s="162" t="s">
        <v>324</v>
      </c>
      <c r="B30" s="163">
        <f aca="true" t="shared" si="8" ref="B30:AC30">SUM(B31:B41)</f>
        <v>756.8000000000001</v>
      </c>
      <c r="C30" s="164">
        <f t="shared" si="8"/>
        <v>335.2000000000004</v>
      </c>
      <c r="D30" s="164">
        <f t="shared" si="8"/>
        <v>533.2000000000003</v>
      </c>
      <c r="E30" s="165">
        <f t="shared" si="8"/>
        <v>630.7000000000003</v>
      </c>
      <c r="F30" s="163">
        <f t="shared" si="8"/>
        <v>435</v>
      </c>
      <c r="G30" s="164">
        <f t="shared" si="8"/>
        <v>438.5999999999999</v>
      </c>
      <c r="H30" s="164">
        <f t="shared" si="8"/>
        <v>221.69999999999987</v>
      </c>
      <c r="I30" s="165">
        <f t="shared" si="8"/>
        <v>136.3999999999998</v>
      </c>
      <c r="J30" s="164">
        <f t="shared" si="8"/>
        <v>177.5999999999998</v>
      </c>
      <c r="K30" s="281">
        <f t="shared" si="8"/>
        <v>337.19999999999976</v>
      </c>
      <c r="L30" s="281">
        <f t="shared" si="8"/>
        <v>276.6999999999997</v>
      </c>
      <c r="M30" s="281">
        <f t="shared" si="8"/>
        <v>398.49999999999943</v>
      </c>
      <c r="N30" s="283">
        <f t="shared" si="8"/>
        <v>308.9</v>
      </c>
      <c r="O30" s="281">
        <f t="shared" si="8"/>
        <v>463.9</v>
      </c>
      <c r="P30" s="281">
        <f t="shared" si="8"/>
        <v>308.5999999999999</v>
      </c>
      <c r="Q30" s="284">
        <f t="shared" si="8"/>
        <v>453.4999999999999</v>
      </c>
      <c r="R30" s="281">
        <f t="shared" si="8"/>
        <v>447.9999999999999</v>
      </c>
      <c r="S30" s="281">
        <f t="shared" si="8"/>
        <v>525.8999999999999</v>
      </c>
      <c r="T30" s="281">
        <f t="shared" si="8"/>
        <v>360.5999999999997</v>
      </c>
      <c r="U30" s="281">
        <f t="shared" si="8"/>
        <v>565.4999999999997</v>
      </c>
      <c r="V30" s="283">
        <f t="shared" si="8"/>
        <v>393.50000000000006</v>
      </c>
      <c r="W30" s="281">
        <f t="shared" si="8"/>
        <v>325.5</v>
      </c>
      <c r="X30" s="281">
        <f t="shared" si="8"/>
        <v>437.89999999999986</v>
      </c>
      <c r="Y30" s="284">
        <f t="shared" si="8"/>
        <v>850.8</v>
      </c>
      <c r="Z30" s="281">
        <f t="shared" si="8"/>
        <v>727</v>
      </c>
      <c r="AA30" s="281">
        <f t="shared" si="8"/>
        <v>794.3</v>
      </c>
      <c r="AB30" s="281">
        <f t="shared" si="8"/>
        <v>515.2</v>
      </c>
      <c r="AC30" s="284">
        <f t="shared" si="8"/>
        <v>872.8</v>
      </c>
      <c r="AD30" s="283">
        <f aca="true" t="shared" si="9" ref="AD30:AI30">SUM(AD31:AD41)</f>
        <v>1841.6</v>
      </c>
      <c r="AE30" s="281">
        <f t="shared" si="9"/>
        <v>1707.8</v>
      </c>
      <c r="AF30" s="281">
        <f t="shared" si="9"/>
        <v>2441.8</v>
      </c>
      <c r="AG30" s="284">
        <f t="shared" si="9"/>
        <v>2965.1</v>
      </c>
      <c r="AH30" s="281">
        <f t="shared" si="9"/>
        <v>2039.5</v>
      </c>
      <c r="AI30" s="281">
        <f t="shared" si="9"/>
        <v>1433</v>
      </c>
      <c r="AJ30" s="281">
        <f aca="true" t="shared" si="10" ref="AJ30:AQ30">SUM(AJ31:AJ41)</f>
        <v>1918.4</v>
      </c>
      <c r="AK30" s="284">
        <f t="shared" si="10"/>
        <v>2201.4</v>
      </c>
      <c r="AL30" s="281">
        <f t="shared" si="10"/>
        <v>1777</v>
      </c>
      <c r="AM30" s="281">
        <f t="shared" si="10"/>
        <v>1967.1000000000004</v>
      </c>
      <c r="AN30" s="281">
        <f t="shared" si="10"/>
        <v>1828.9</v>
      </c>
      <c r="AO30" s="284">
        <f t="shared" si="10"/>
        <v>1407.3</v>
      </c>
      <c r="AP30" s="281">
        <f t="shared" si="10"/>
        <v>1661.9999999999998</v>
      </c>
      <c r="AQ30" s="281">
        <f t="shared" si="10"/>
        <v>1039.0000000000002</v>
      </c>
    </row>
    <row r="31" spans="1:43" s="157" customFormat="1" ht="12.75">
      <c r="A31" s="152" t="s">
        <v>230</v>
      </c>
      <c r="B31" s="153">
        <v>-2</v>
      </c>
      <c r="C31" s="154">
        <v>1.4210854715202004E-14</v>
      </c>
      <c r="D31" s="154">
        <v>0</v>
      </c>
      <c r="E31" s="155">
        <v>0</v>
      </c>
      <c r="F31" s="153">
        <v>9.899999999999995</v>
      </c>
      <c r="G31" s="154">
        <v>0.5000000000000057</v>
      </c>
      <c r="H31" s="154">
        <v>2.5</v>
      </c>
      <c r="I31" s="155">
        <v>0</v>
      </c>
      <c r="J31" s="154">
        <v>2.1999999999999944</v>
      </c>
      <c r="K31" s="160">
        <v>1.2</v>
      </c>
      <c r="L31" s="160">
        <v>1.2</v>
      </c>
      <c r="M31" s="160">
        <v>1.0000000000000004</v>
      </c>
      <c r="N31" s="159">
        <v>44.8</v>
      </c>
      <c r="O31" s="160">
        <v>0</v>
      </c>
      <c r="P31" s="160">
        <v>11.2</v>
      </c>
      <c r="Q31" s="161">
        <v>0.5</v>
      </c>
      <c r="R31" s="160">
        <v>0</v>
      </c>
      <c r="S31" s="160">
        <v>1</v>
      </c>
      <c r="T31" s="160">
        <v>0.5999999999999979</v>
      </c>
      <c r="U31" s="160">
        <v>3.4999999999999574</v>
      </c>
      <c r="V31" s="159">
        <v>0.7999999999999972</v>
      </c>
      <c r="W31" s="160">
        <v>1.6000000000000085</v>
      </c>
      <c r="X31" s="160">
        <v>3.4999999999999774</v>
      </c>
      <c r="Y31" s="161">
        <v>7.2999999999999545</v>
      </c>
      <c r="Z31" s="160">
        <v>5.2</v>
      </c>
      <c r="AA31" s="160">
        <v>3.6</v>
      </c>
      <c r="AB31" s="160">
        <v>2.600000000000005</v>
      </c>
      <c r="AC31" s="161">
        <v>3.7</v>
      </c>
      <c r="AD31" s="159">
        <v>240.00000000000003</v>
      </c>
      <c r="AE31" s="160">
        <v>397.2</v>
      </c>
      <c r="AF31" s="160">
        <v>536.2</v>
      </c>
      <c r="AG31" s="161">
        <v>564.7</v>
      </c>
      <c r="AH31" s="160">
        <v>379.90000000000003</v>
      </c>
      <c r="AI31" s="160">
        <v>254.8</v>
      </c>
      <c r="AJ31" s="160">
        <v>259.4</v>
      </c>
      <c r="AK31" s="161">
        <v>343.1</v>
      </c>
      <c r="AL31" s="160">
        <v>216.7</v>
      </c>
      <c r="AM31" s="160">
        <v>142.1</v>
      </c>
      <c r="AN31" s="160">
        <v>136.4</v>
      </c>
      <c r="AO31" s="161">
        <v>107.4</v>
      </c>
      <c r="AP31" s="160">
        <v>41.5</v>
      </c>
      <c r="AQ31" s="160">
        <v>54.900000000000034</v>
      </c>
    </row>
    <row r="32" spans="1:43" s="157" customFormat="1" ht="12.75">
      <c r="A32" s="152" t="s">
        <v>231</v>
      </c>
      <c r="B32" s="159" t="s">
        <v>214</v>
      </c>
      <c r="C32" s="160" t="s">
        <v>214</v>
      </c>
      <c r="D32" s="160" t="s">
        <v>214</v>
      </c>
      <c r="E32" s="161" t="s">
        <v>214</v>
      </c>
      <c r="F32" s="153">
        <v>57.8</v>
      </c>
      <c r="G32" s="154">
        <v>50.8</v>
      </c>
      <c r="H32" s="154">
        <v>50.2</v>
      </c>
      <c r="I32" s="155">
        <v>52.9</v>
      </c>
      <c r="J32" s="154">
        <v>52.9</v>
      </c>
      <c r="K32" s="160">
        <v>52.8</v>
      </c>
      <c r="L32" s="160">
        <v>52.8</v>
      </c>
      <c r="M32" s="160">
        <v>51.1</v>
      </c>
      <c r="N32" s="159">
        <v>51.1</v>
      </c>
      <c r="O32" s="160">
        <v>51.1</v>
      </c>
      <c r="P32" s="160">
        <v>51.5</v>
      </c>
      <c r="Q32" s="161">
        <v>47.4</v>
      </c>
      <c r="R32" s="160">
        <v>45.9</v>
      </c>
      <c r="S32" s="160">
        <v>45.7</v>
      </c>
      <c r="T32" s="160">
        <v>44.7</v>
      </c>
      <c r="U32" s="160">
        <v>39.3</v>
      </c>
      <c r="V32" s="159">
        <v>38.6</v>
      </c>
      <c r="W32" s="160">
        <v>38.1</v>
      </c>
      <c r="X32" s="160">
        <v>38</v>
      </c>
      <c r="Y32" s="161">
        <v>42</v>
      </c>
      <c r="Z32" s="160">
        <v>42</v>
      </c>
      <c r="AA32" s="160">
        <v>41.6</v>
      </c>
      <c r="AB32" s="160">
        <v>41.4</v>
      </c>
      <c r="AC32" s="161">
        <v>43.2</v>
      </c>
      <c r="AD32" s="159">
        <v>41.7</v>
      </c>
      <c r="AE32" s="160">
        <v>41.7</v>
      </c>
      <c r="AF32" s="160">
        <v>40.3</v>
      </c>
      <c r="AG32" s="161">
        <v>31.4</v>
      </c>
      <c r="AH32" s="160">
        <v>31.9</v>
      </c>
      <c r="AI32" s="160">
        <v>26.799999999999997</v>
      </c>
      <c r="AJ32" s="160">
        <v>25.8</v>
      </c>
      <c r="AK32" s="161">
        <v>22.9</v>
      </c>
      <c r="AL32" s="160">
        <v>15.3</v>
      </c>
      <c r="AM32" s="160">
        <v>14.8</v>
      </c>
      <c r="AN32" s="160">
        <v>12</v>
      </c>
      <c r="AO32" s="161">
        <v>4.8</v>
      </c>
      <c r="AP32" s="160">
        <v>9.4</v>
      </c>
      <c r="AQ32" s="160">
        <v>2.5</v>
      </c>
    </row>
    <row r="33" spans="1:43" s="157" customFormat="1" ht="12.75">
      <c r="A33" s="152" t="s">
        <v>232</v>
      </c>
      <c r="B33" s="153">
        <v>0</v>
      </c>
      <c r="C33" s="154">
        <v>0</v>
      </c>
      <c r="D33" s="154">
        <v>0</v>
      </c>
      <c r="E33" s="155">
        <v>0</v>
      </c>
      <c r="F33" s="153">
        <v>0</v>
      </c>
      <c r="G33" s="154">
        <v>-20.2</v>
      </c>
      <c r="H33" s="154">
        <v>2.1</v>
      </c>
      <c r="I33" s="155">
        <v>45.6</v>
      </c>
      <c r="J33" s="154">
        <v>41.7</v>
      </c>
      <c r="K33" s="160">
        <v>19.7</v>
      </c>
      <c r="L33" s="160">
        <v>11.9</v>
      </c>
      <c r="M33" s="160">
        <v>-1</v>
      </c>
      <c r="N33" s="159">
        <v>18.9</v>
      </c>
      <c r="O33" s="160">
        <v>26</v>
      </c>
      <c r="P33" s="160">
        <v>34.1</v>
      </c>
      <c r="Q33" s="161">
        <v>0.4</v>
      </c>
      <c r="R33" s="160">
        <v>-28.2</v>
      </c>
      <c r="S33" s="160">
        <v>7.800000000000001</v>
      </c>
      <c r="T33" s="160">
        <v>67.4</v>
      </c>
      <c r="U33" s="160">
        <v>58.2</v>
      </c>
      <c r="V33" s="159">
        <v>49</v>
      </c>
      <c r="W33" s="160">
        <v>82.7</v>
      </c>
      <c r="X33" s="160">
        <v>154.7</v>
      </c>
      <c r="Y33" s="161">
        <v>367</v>
      </c>
      <c r="Z33" s="160">
        <v>375.8</v>
      </c>
      <c r="AA33" s="160">
        <v>227.6</v>
      </c>
      <c r="AB33" s="160">
        <v>191.1</v>
      </c>
      <c r="AC33" s="161">
        <v>205.5</v>
      </c>
      <c r="AD33" s="159">
        <v>262.7</v>
      </c>
      <c r="AE33" s="160">
        <v>648.9</v>
      </c>
      <c r="AF33" s="160">
        <v>1006.9</v>
      </c>
      <c r="AG33" s="161">
        <v>1278.3</v>
      </c>
      <c r="AH33" s="160">
        <v>1281.2</v>
      </c>
      <c r="AI33" s="160">
        <v>492.3</v>
      </c>
      <c r="AJ33" s="160">
        <v>963.7</v>
      </c>
      <c r="AK33" s="161">
        <v>960.6</v>
      </c>
      <c r="AL33" s="160">
        <v>1229</v>
      </c>
      <c r="AM33" s="160">
        <v>1156.9</v>
      </c>
      <c r="AN33" s="160">
        <v>1003.2</v>
      </c>
      <c r="AO33" s="161">
        <v>354.6</v>
      </c>
      <c r="AP33" s="160">
        <v>352.4</v>
      </c>
      <c r="AQ33" s="160">
        <v>324.7</v>
      </c>
    </row>
    <row r="34" spans="1:43" s="157" customFormat="1" ht="12.75">
      <c r="A34" s="152" t="s">
        <v>314</v>
      </c>
      <c r="B34" s="153">
        <v>0</v>
      </c>
      <c r="C34" s="154">
        <v>0</v>
      </c>
      <c r="D34" s="154">
        <v>0</v>
      </c>
      <c r="E34" s="155">
        <v>0</v>
      </c>
      <c r="F34" s="153">
        <v>0</v>
      </c>
      <c r="G34" s="154">
        <v>0</v>
      </c>
      <c r="H34" s="154">
        <v>0</v>
      </c>
      <c r="I34" s="155">
        <v>0</v>
      </c>
      <c r="J34" s="154">
        <v>0</v>
      </c>
      <c r="K34" s="160">
        <v>0</v>
      </c>
      <c r="L34" s="160">
        <v>0</v>
      </c>
      <c r="M34" s="160">
        <v>0</v>
      </c>
      <c r="N34" s="159">
        <v>0</v>
      </c>
      <c r="O34" s="160">
        <v>0</v>
      </c>
      <c r="P34" s="160">
        <v>0</v>
      </c>
      <c r="Q34" s="161">
        <v>0</v>
      </c>
      <c r="R34" s="160">
        <v>0</v>
      </c>
      <c r="S34" s="160">
        <v>0</v>
      </c>
      <c r="T34" s="160">
        <v>0</v>
      </c>
      <c r="U34" s="160">
        <v>0</v>
      </c>
      <c r="V34" s="159">
        <v>0</v>
      </c>
      <c r="W34" s="160">
        <v>0</v>
      </c>
      <c r="X34" s="160">
        <v>0</v>
      </c>
      <c r="Y34" s="161">
        <v>0</v>
      </c>
      <c r="Z34" s="160">
        <v>0.4</v>
      </c>
      <c r="AA34" s="160">
        <v>0.4</v>
      </c>
      <c r="AB34" s="160">
        <v>0.4</v>
      </c>
      <c r="AC34" s="161">
        <v>1.9</v>
      </c>
      <c r="AD34" s="159">
        <v>1.9000000000000001</v>
      </c>
      <c r="AE34" s="160">
        <v>1.9000000000000001</v>
      </c>
      <c r="AF34" s="160">
        <v>1.9000000000000001</v>
      </c>
      <c r="AG34" s="161">
        <v>3.4000000000000004</v>
      </c>
      <c r="AH34" s="160">
        <v>3.4000000000000004</v>
      </c>
      <c r="AI34" s="160">
        <v>3.4</v>
      </c>
      <c r="AJ34" s="160">
        <v>3.4</v>
      </c>
      <c r="AK34" s="161">
        <v>3</v>
      </c>
      <c r="AL34" s="160">
        <v>1.3</v>
      </c>
      <c r="AM34" s="160">
        <v>1.2</v>
      </c>
      <c r="AN34" s="160">
        <v>1.2</v>
      </c>
      <c r="AO34" s="161">
        <v>2</v>
      </c>
      <c r="AP34" s="160">
        <v>3.8</v>
      </c>
      <c r="AQ34" s="160">
        <v>1.1</v>
      </c>
    </row>
    <row r="35" spans="1:43" s="157" customFormat="1" ht="12.75">
      <c r="A35" s="152" t="s">
        <v>233</v>
      </c>
      <c r="B35" s="153">
        <v>0</v>
      </c>
      <c r="C35" s="154">
        <v>0</v>
      </c>
      <c r="D35" s="154">
        <v>0</v>
      </c>
      <c r="E35" s="155">
        <v>0</v>
      </c>
      <c r="F35" s="153">
        <v>0</v>
      </c>
      <c r="G35" s="154">
        <v>0</v>
      </c>
      <c r="H35" s="154">
        <v>0</v>
      </c>
      <c r="I35" s="155">
        <v>0</v>
      </c>
      <c r="J35" s="154">
        <v>0</v>
      </c>
      <c r="K35" s="160">
        <v>0</v>
      </c>
      <c r="L35" s="160">
        <v>0</v>
      </c>
      <c r="M35" s="160">
        <v>15.8</v>
      </c>
      <c r="N35" s="159">
        <v>16.6</v>
      </c>
      <c r="O35" s="160">
        <v>17.8</v>
      </c>
      <c r="P35" s="160">
        <v>19.4</v>
      </c>
      <c r="Q35" s="161">
        <v>21.1</v>
      </c>
      <c r="R35" s="160">
        <v>22.7</v>
      </c>
      <c r="S35" s="160">
        <v>25</v>
      </c>
      <c r="T35" s="160">
        <v>27.8</v>
      </c>
      <c r="U35" s="160">
        <v>30.8</v>
      </c>
      <c r="V35" s="159">
        <v>33.6</v>
      </c>
      <c r="W35" s="160">
        <v>35.5</v>
      </c>
      <c r="X35" s="160">
        <v>38.5</v>
      </c>
      <c r="Y35" s="161">
        <v>41.3</v>
      </c>
      <c r="Z35" s="160">
        <v>43.9</v>
      </c>
      <c r="AA35" s="160">
        <v>44.5</v>
      </c>
      <c r="AB35" s="160">
        <v>45.3</v>
      </c>
      <c r="AC35" s="161">
        <v>46.1</v>
      </c>
      <c r="AD35" s="159">
        <v>47</v>
      </c>
      <c r="AE35" s="160">
        <v>47.7</v>
      </c>
      <c r="AF35" s="160">
        <v>47.900000000000006</v>
      </c>
      <c r="AG35" s="161">
        <v>48.2</v>
      </c>
      <c r="AH35" s="160">
        <v>48.5</v>
      </c>
      <c r="AI35" s="160">
        <v>49.199999999999996</v>
      </c>
      <c r="AJ35" s="160">
        <v>49.4</v>
      </c>
      <c r="AK35" s="161">
        <v>49.4</v>
      </c>
      <c r="AL35" s="160" t="s">
        <v>214</v>
      </c>
      <c r="AM35" s="160" t="s">
        <v>214</v>
      </c>
      <c r="AN35" s="160" t="s">
        <v>214</v>
      </c>
      <c r="AO35" s="161" t="s">
        <v>214</v>
      </c>
      <c r="AP35" s="326" t="s">
        <v>214</v>
      </c>
      <c r="AQ35" s="326" t="s">
        <v>214</v>
      </c>
    </row>
    <row r="36" spans="1:43" s="157" customFormat="1" ht="12.75">
      <c r="A36" s="152" t="s">
        <v>234</v>
      </c>
      <c r="B36" s="153">
        <v>167.40000000000012</v>
      </c>
      <c r="C36" s="154">
        <v>335.2000000000004</v>
      </c>
      <c r="D36" s="154">
        <v>533.2000000000003</v>
      </c>
      <c r="E36" s="155">
        <v>630.7000000000003</v>
      </c>
      <c r="F36" s="153">
        <v>215.10000000000002</v>
      </c>
      <c r="G36" s="154">
        <v>407.4999999999999</v>
      </c>
      <c r="H36" s="154">
        <v>166.89999999999986</v>
      </c>
      <c r="I36" s="155">
        <v>37.89999999999981</v>
      </c>
      <c r="J36" s="154">
        <v>80.79999999999981</v>
      </c>
      <c r="K36" s="160">
        <v>263.4999999999998</v>
      </c>
      <c r="L36" s="160">
        <v>210.79999999999967</v>
      </c>
      <c r="M36" s="160">
        <v>331.59999999999945</v>
      </c>
      <c r="N36" s="159">
        <v>177.49999999999997</v>
      </c>
      <c r="O36" s="160">
        <v>369</v>
      </c>
      <c r="P36" s="160">
        <v>192.39999999999986</v>
      </c>
      <c r="Q36" s="161">
        <v>384.0999999999999</v>
      </c>
      <c r="R36" s="160">
        <v>212.49999999999986</v>
      </c>
      <c r="S36" s="160">
        <v>446.3999999999998</v>
      </c>
      <c r="T36" s="160">
        <v>220.09999999999968</v>
      </c>
      <c r="U36" s="160">
        <v>433.6999999999997</v>
      </c>
      <c r="V36" s="159">
        <v>271.50000000000006</v>
      </c>
      <c r="W36" s="160">
        <v>167.59999999999997</v>
      </c>
      <c r="X36" s="160">
        <v>203.19999999999993</v>
      </c>
      <c r="Y36" s="161">
        <v>393.19999999999993</v>
      </c>
      <c r="Z36" s="160">
        <v>259.7</v>
      </c>
      <c r="AA36" s="160">
        <v>476.59999999999997</v>
      </c>
      <c r="AB36" s="160">
        <v>234.40000000000003</v>
      </c>
      <c r="AC36" s="161">
        <v>0</v>
      </c>
      <c r="AD36" s="159">
        <v>254.60000000000002</v>
      </c>
      <c r="AE36" s="160">
        <v>536.8999999999999</v>
      </c>
      <c r="AF36" s="160">
        <v>809.9000000000001</v>
      </c>
      <c r="AG36" s="161">
        <v>1040.6999999999998</v>
      </c>
      <c r="AH36" s="160">
        <v>261</v>
      </c>
      <c r="AI36" s="160">
        <v>605.6</v>
      </c>
      <c r="AJ36" s="160">
        <v>615.8</v>
      </c>
      <c r="AK36" s="161">
        <v>821.5</v>
      </c>
      <c r="AL36" s="160">
        <v>259.2</v>
      </c>
      <c r="AM36" s="160">
        <v>666.1</v>
      </c>
      <c r="AN36" s="160">
        <v>689.6</v>
      </c>
      <c r="AO36" s="161">
        <v>944.5</v>
      </c>
      <c r="AP36" s="160">
        <v>-8.3</v>
      </c>
      <c r="AQ36" s="160">
        <v>660.6</v>
      </c>
    </row>
    <row r="37" spans="1:43" s="157" customFormat="1" ht="12.75">
      <c r="A37" s="152" t="s">
        <v>325</v>
      </c>
      <c r="B37" s="153">
        <v>0</v>
      </c>
      <c r="C37" s="154">
        <v>0</v>
      </c>
      <c r="D37" s="154">
        <v>0</v>
      </c>
      <c r="E37" s="155">
        <v>0</v>
      </c>
      <c r="F37" s="153">
        <v>152.2</v>
      </c>
      <c r="G37" s="154">
        <v>0</v>
      </c>
      <c r="H37" s="154">
        <v>0</v>
      </c>
      <c r="I37" s="155">
        <v>0</v>
      </c>
      <c r="J37" s="153">
        <v>0</v>
      </c>
      <c r="K37" s="160">
        <v>0</v>
      </c>
      <c r="L37" s="160">
        <v>0</v>
      </c>
      <c r="M37" s="161">
        <v>0</v>
      </c>
      <c r="N37" s="159">
        <v>0</v>
      </c>
      <c r="O37" s="160">
        <v>0</v>
      </c>
      <c r="P37" s="160">
        <v>0</v>
      </c>
      <c r="Q37" s="161">
        <v>0</v>
      </c>
      <c r="R37" s="159">
        <v>195.1</v>
      </c>
      <c r="S37" s="160">
        <v>0</v>
      </c>
      <c r="T37" s="160">
        <v>0</v>
      </c>
      <c r="U37" s="161">
        <v>0</v>
      </c>
      <c r="V37" s="159">
        <v>0</v>
      </c>
      <c r="W37" s="160">
        <v>0</v>
      </c>
      <c r="X37" s="160">
        <v>0</v>
      </c>
      <c r="Y37" s="161">
        <v>0</v>
      </c>
      <c r="Z37" s="159">
        <v>0</v>
      </c>
      <c r="AA37" s="160">
        <v>0</v>
      </c>
      <c r="AB37" s="160">
        <v>0</v>
      </c>
      <c r="AC37" s="161">
        <v>572.4</v>
      </c>
      <c r="AD37" s="159" t="s">
        <v>214</v>
      </c>
      <c r="AE37" s="160" t="s">
        <v>214</v>
      </c>
      <c r="AF37" s="160" t="s">
        <v>214</v>
      </c>
      <c r="AG37" s="161"/>
      <c r="AH37" s="160" t="s">
        <v>214</v>
      </c>
      <c r="AI37" s="160" t="s">
        <v>214</v>
      </c>
      <c r="AJ37" s="160" t="s">
        <v>214</v>
      </c>
      <c r="AK37" s="161" t="s">
        <v>214</v>
      </c>
      <c r="AL37" s="160" t="s">
        <v>214</v>
      </c>
      <c r="AM37" s="160" t="s">
        <v>214</v>
      </c>
      <c r="AN37" s="160" t="s">
        <v>214</v>
      </c>
      <c r="AO37" s="161" t="s">
        <v>214</v>
      </c>
      <c r="AP37" s="326" t="s">
        <v>214</v>
      </c>
      <c r="AQ37" s="326" t="s">
        <v>214</v>
      </c>
    </row>
    <row r="38" spans="1:43" s="157" customFormat="1" ht="12.75">
      <c r="A38" s="152" t="s">
        <v>322</v>
      </c>
      <c r="B38" s="153">
        <v>591.4</v>
      </c>
      <c r="C38" s="160" t="s">
        <v>214</v>
      </c>
      <c r="D38" s="160" t="s">
        <v>214</v>
      </c>
      <c r="E38" s="161" t="s">
        <v>214</v>
      </c>
      <c r="F38" s="153" t="s">
        <v>214</v>
      </c>
      <c r="G38" s="154" t="s">
        <v>214</v>
      </c>
      <c r="H38" s="154" t="s">
        <v>214</v>
      </c>
      <c r="I38" s="155" t="s">
        <v>214</v>
      </c>
      <c r="J38" s="153" t="s">
        <v>214</v>
      </c>
      <c r="K38" s="160" t="s">
        <v>214</v>
      </c>
      <c r="L38" s="160" t="s">
        <v>214</v>
      </c>
      <c r="M38" s="161" t="s">
        <v>214</v>
      </c>
      <c r="N38" s="159" t="s">
        <v>214</v>
      </c>
      <c r="O38" s="160" t="s">
        <v>214</v>
      </c>
      <c r="P38" s="160" t="s">
        <v>214</v>
      </c>
      <c r="Q38" s="161" t="s">
        <v>214</v>
      </c>
      <c r="R38" s="159" t="s">
        <v>214</v>
      </c>
      <c r="S38" s="160" t="s">
        <v>214</v>
      </c>
      <c r="T38" s="160" t="s">
        <v>214</v>
      </c>
      <c r="U38" s="161" t="s">
        <v>214</v>
      </c>
      <c r="V38" s="159" t="s">
        <v>214</v>
      </c>
      <c r="W38" s="160" t="s">
        <v>214</v>
      </c>
      <c r="X38" s="160" t="s">
        <v>214</v>
      </c>
      <c r="Y38" s="161" t="s">
        <v>214</v>
      </c>
      <c r="Z38" s="159" t="s">
        <v>214</v>
      </c>
      <c r="AA38" s="160" t="s">
        <v>214</v>
      </c>
      <c r="AB38" s="160" t="s">
        <v>214</v>
      </c>
      <c r="AC38" s="161" t="s">
        <v>214</v>
      </c>
      <c r="AD38" s="159">
        <v>961.5</v>
      </c>
      <c r="AE38" s="160" t="s">
        <v>214</v>
      </c>
      <c r="AF38" s="160" t="s">
        <v>214</v>
      </c>
      <c r="AG38" s="161"/>
      <c r="AH38" s="160">
        <v>32.4</v>
      </c>
      <c r="AI38" s="160">
        <v>0</v>
      </c>
      <c r="AJ38" s="160">
        <v>0</v>
      </c>
      <c r="AK38" s="161">
        <v>0</v>
      </c>
      <c r="AL38" s="160">
        <v>69.5</v>
      </c>
      <c r="AM38" s="160" t="s">
        <v>214</v>
      </c>
      <c r="AN38" s="160" t="s">
        <v>214</v>
      </c>
      <c r="AO38" s="161" t="s">
        <v>214</v>
      </c>
      <c r="AP38" s="160">
        <v>1265.5</v>
      </c>
      <c r="AQ38" s="160">
        <v>0</v>
      </c>
    </row>
    <row r="39" spans="1:43" s="157" customFormat="1" ht="12.75">
      <c r="A39" s="152" t="s">
        <v>224</v>
      </c>
      <c r="B39" s="153"/>
      <c r="C39" s="160"/>
      <c r="D39" s="160"/>
      <c r="E39" s="161"/>
      <c r="F39" s="153"/>
      <c r="G39" s="154"/>
      <c r="H39" s="154"/>
      <c r="I39" s="155"/>
      <c r="J39" s="153"/>
      <c r="K39" s="160"/>
      <c r="L39" s="160"/>
      <c r="M39" s="161"/>
      <c r="N39" s="159"/>
      <c r="O39" s="160"/>
      <c r="P39" s="160"/>
      <c r="Q39" s="161"/>
      <c r="R39" s="159"/>
      <c r="S39" s="160"/>
      <c r="T39" s="160"/>
      <c r="U39" s="161"/>
      <c r="V39" s="159"/>
      <c r="W39" s="160"/>
      <c r="X39" s="160"/>
      <c r="Y39" s="161"/>
      <c r="Z39" s="159"/>
      <c r="AA39" s="160"/>
      <c r="AB39" s="160"/>
      <c r="AC39" s="161"/>
      <c r="AD39" s="159">
        <v>0.1</v>
      </c>
      <c r="AE39" s="160">
        <v>0.3</v>
      </c>
      <c r="AF39" s="160">
        <v>0.2</v>
      </c>
      <c r="AG39" s="161">
        <v>0</v>
      </c>
      <c r="AH39" s="160">
        <v>0</v>
      </c>
      <c r="AI39" s="160">
        <v>-0.2</v>
      </c>
      <c r="AJ39" s="160">
        <v>-0.2</v>
      </c>
      <c r="AK39" s="161">
        <v>-0.2</v>
      </c>
      <c r="AL39" s="160">
        <v>-0.2</v>
      </c>
      <c r="AM39" s="160">
        <v>-0.2</v>
      </c>
      <c r="AN39" s="160">
        <v>-0.2</v>
      </c>
      <c r="AO39" s="161">
        <v>-0.2</v>
      </c>
      <c r="AP39" s="160">
        <v>2.1</v>
      </c>
      <c r="AQ39" s="160">
        <v>1.7</v>
      </c>
    </row>
    <row r="40" spans="1:43" s="157" customFormat="1" ht="12.75">
      <c r="A40" s="152" t="s">
        <v>227</v>
      </c>
      <c r="B40" s="153"/>
      <c r="C40" s="160"/>
      <c r="D40" s="160"/>
      <c r="E40" s="161"/>
      <c r="F40" s="153"/>
      <c r="G40" s="154"/>
      <c r="H40" s="154"/>
      <c r="I40" s="155"/>
      <c r="J40" s="153"/>
      <c r="K40" s="160"/>
      <c r="L40" s="160"/>
      <c r="M40" s="161"/>
      <c r="N40" s="159"/>
      <c r="O40" s="160"/>
      <c r="P40" s="160"/>
      <c r="Q40" s="161"/>
      <c r="R40" s="159"/>
      <c r="S40" s="160"/>
      <c r="T40" s="160"/>
      <c r="U40" s="161"/>
      <c r="V40" s="159"/>
      <c r="W40" s="160"/>
      <c r="X40" s="160"/>
      <c r="Y40" s="161"/>
      <c r="Z40" s="159"/>
      <c r="AA40" s="160"/>
      <c r="AB40" s="160"/>
      <c r="AC40" s="161"/>
      <c r="AD40" s="159">
        <v>29.8</v>
      </c>
      <c r="AE40" s="160">
        <v>30.8</v>
      </c>
      <c r="AF40" s="160">
        <v>-4.1</v>
      </c>
      <c r="AG40" s="161">
        <v>-4.2</v>
      </c>
      <c r="AH40" s="160">
        <v>-1.4</v>
      </c>
      <c r="AI40" s="160">
        <v>-1.5</v>
      </c>
      <c r="AJ40" s="160">
        <v>-1.5</v>
      </c>
      <c r="AK40" s="161">
        <v>-1.5</v>
      </c>
      <c r="AL40" s="160">
        <v>-16.3</v>
      </c>
      <c r="AM40" s="160">
        <v>-16.3</v>
      </c>
      <c r="AN40" s="160">
        <v>-15.6</v>
      </c>
      <c r="AO40" s="161">
        <v>-8.1</v>
      </c>
      <c r="AP40" s="160">
        <v>-6.5</v>
      </c>
      <c r="AQ40" s="160">
        <v>-6.5</v>
      </c>
    </row>
    <row r="41" spans="1:43" s="157" customFormat="1" ht="12.75">
      <c r="A41" s="152" t="s">
        <v>246</v>
      </c>
      <c r="B41" s="159" t="s">
        <v>214</v>
      </c>
      <c r="C41" s="160" t="s">
        <v>214</v>
      </c>
      <c r="D41" s="160" t="s">
        <v>214</v>
      </c>
      <c r="E41" s="161" t="s">
        <v>214</v>
      </c>
      <c r="F41" s="153" t="s">
        <v>214</v>
      </c>
      <c r="G41" s="154" t="s">
        <v>214</v>
      </c>
      <c r="H41" s="154" t="s">
        <v>214</v>
      </c>
      <c r="I41" s="155" t="s">
        <v>214</v>
      </c>
      <c r="J41" s="153" t="s">
        <v>214</v>
      </c>
      <c r="K41" s="160" t="s">
        <v>214</v>
      </c>
      <c r="L41" s="160" t="s">
        <v>214</v>
      </c>
      <c r="M41" s="161" t="s">
        <v>214</v>
      </c>
      <c r="N41" s="159" t="s">
        <v>214</v>
      </c>
      <c r="O41" s="160" t="s">
        <v>214</v>
      </c>
      <c r="P41" s="160" t="s">
        <v>214</v>
      </c>
      <c r="Q41" s="161" t="s">
        <v>214</v>
      </c>
      <c r="R41" s="159" t="s">
        <v>214</v>
      </c>
      <c r="S41" s="160" t="s">
        <v>214</v>
      </c>
      <c r="T41" s="160" t="s">
        <v>214</v>
      </c>
      <c r="U41" s="161" t="s">
        <v>214</v>
      </c>
      <c r="V41" s="159" t="s">
        <v>214</v>
      </c>
      <c r="W41" s="160" t="s">
        <v>214</v>
      </c>
      <c r="X41" s="160" t="s">
        <v>214</v>
      </c>
      <c r="Y41" s="161" t="s">
        <v>214</v>
      </c>
      <c r="Z41" s="159" t="s">
        <v>214</v>
      </c>
      <c r="AA41" s="160" t="s">
        <v>214</v>
      </c>
      <c r="AB41" s="160" t="s">
        <v>214</v>
      </c>
      <c r="AC41" s="161" t="s">
        <v>214</v>
      </c>
      <c r="AD41" s="159">
        <v>2.3</v>
      </c>
      <c r="AE41" s="160">
        <v>2.4000000000000012</v>
      </c>
      <c r="AF41" s="160">
        <v>2.6</v>
      </c>
      <c r="AG41" s="161">
        <v>2.6</v>
      </c>
      <c r="AH41" s="160">
        <v>2.6</v>
      </c>
      <c r="AI41" s="160">
        <v>2.6</v>
      </c>
      <c r="AJ41" s="160">
        <v>2.6</v>
      </c>
      <c r="AK41" s="161">
        <v>2.6</v>
      </c>
      <c r="AL41" s="160">
        <v>2.5</v>
      </c>
      <c r="AM41" s="160">
        <v>2.5</v>
      </c>
      <c r="AN41" s="160">
        <v>2.3</v>
      </c>
      <c r="AO41" s="161">
        <v>2.3</v>
      </c>
      <c r="AP41" s="160">
        <v>2.1</v>
      </c>
      <c r="AQ41" s="160">
        <v>0</v>
      </c>
    </row>
    <row r="42" spans="1:43" s="275" customFormat="1" ht="12.75">
      <c r="A42" s="166" t="s">
        <v>235</v>
      </c>
      <c r="B42" s="149">
        <f>SUM(B43,B49,B52)</f>
        <v>-287.59999999999997</v>
      </c>
      <c r="C42" s="150">
        <f aca="true" t="shared" si="11" ref="C42:X42">SUM(C43,C49,C52)</f>
        <v>-310.3</v>
      </c>
      <c r="D42" s="150">
        <f t="shared" si="11"/>
        <v>-177.8</v>
      </c>
      <c r="E42" s="151">
        <f t="shared" si="11"/>
        <v>-227</v>
      </c>
      <c r="F42" s="149">
        <f t="shared" si="11"/>
        <v>-325.1</v>
      </c>
      <c r="G42" s="150">
        <f t="shared" si="11"/>
        <v>-292.6</v>
      </c>
      <c r="H42" s="150">
        <f t="shared" si="11"/>
        <v>-259.6</v>
      </c>
      <c r="I42" s="151">
        <f t="shared" si="11"/>
        <v>-276.5</v>
      </c>
      <c r="J42" s="150">
        <f t="shared" si="11"/>
        <v>-353.5</v>
      </c>
      <c r="K42" s="150">
        <f t="shared" si="11"/>
        <v>-294.3</v>
      </c>
      <c r="L42" s="150">
        <f t="shared" si="11"/>
        <v>-301.59999999999997</v>
      </c>
      <c r="M42" s="150">
        <f t="shared" si="11"/>
        <v>-301.8</v>
      </c>
      <c r="N42" s="149">
        <f t="shared" si="11"/>
        <v>-307.5</v>
      </c>
      <c r="O42" s="150">
        <f t="shared" si="11"/>
        <v>-327</v>
      </c>
      <c r="P42" s="150">
        <f t="shared" si="11"/>
        <v>-333.6</v>
      </c>
      <c r="Q42" s="151">
        <f t="shared" si="11"/>
        <v>-355.7</v>
      </c>
      <c r="R42" s="280">
        <f t="shared" si="11"/>
        <v>-319.9</v>
      </c>
      <c r="S42" s="280">
        <f t="shared" si="11"/>
        <v>-338</v>
      </c>
      <c r="T42" s="280">
        <f t="shared" si="11"/>
        <v>-355.20000000000005</v>
      </c>
      <c r="U42" s="280">
        <f t="shared" si="11"/>
        <v>-523.9999999999999</v>
      </c>
      <c r="V42" s="278">
        <f t="shared" si="11"/>
        <v>-514.1999999999999</v>
      </c>
      <c r="W42" s="280">
        <f t="shared" si="11"/>
        <v>-498.1</v>
      </c>
      <c r="X42" s="280">
        <f t="shared" si="11"/>
        <v>-503.70000000000005</v>
      </c>
      <c r="Y42" s="282">
        <f aca="true" t="shared" si="12" ref="Y42:AE42">SUM(Y43,Y49,Y52)</f>
        <v>-488.1</v>
      </c>
      <c r="Z42" s="280">
        <f t="shared" si="12"/>
        <v>-494.9</v>
      </c>
      <c r="AA42" s="280">
        <f t="shared" si="12"/>
        <v>-486.0000000000001</v>
      </c>
      <c r="AB42" s="280">
        <f t="shared" si="12"/>
        <v>-477.20000000000016</v>
      </c>
      <c r="AC42" s="282">
        <f t="shared" si="12"/>
        <v>-469.80000000000007</v>
      </c>
      <c r="AD42" s="278">
        <f t="shared" si="12"/>
        <v>-480.6</v>
      </c>
      <c r="AE42" s="280">
        <f t="shared" si="12"/>
        <v>-488</v>
      </c>
      <c r="AF42" s="280">
        <f aca="true" t="shared" si="13" ref="AF42:AK42">SUM(AF43,AF49,AF52)</f>
        <v>-514.0999999999999</v>
      </c>
      <c r="AG42" s="282">
        <f t="shared" si="13"/>
        <v>-508.09999999999997</v>
      </c>
      <c r="AH42" s="280">
        <f t="shared" si="13"/>
        <v>-545.3999999999999</v>
      </c>
      <c r="AI42" s="280">
        <f t="shared" si="13"/>
        <v>-484.3</v>
      </c>
      <c r="AJ42" s="280">
        <f t="shared" si="13"/>
        <v>-543.8</v>
      </c>
      <c r="AK42" s="282">
        <f t="shared" si="13"/>
        <v>-559</v>
      </c>
      <c r="AL42" s="280">
        <f aca="true" t="shared" si="14" ref="AL42:AQ42">SUM(AL43,AL49,AL52)</f>
        <v>-546.7</v>
      </c>
      <c r="AM42" s="280">
        <f t="shared" si="14"/>
        <v>107.09999999999994</v>
      </c>
      <c r="AN42" s="280">
        <f t="shared" si="14"/>
        <v>82.19999999999993</v>
      </c>
      <c r="AO42" s="282">
        <f t="shared" si="14"/>
        <v>123.7</v>
      </c>
      <c r="AP42" s="280">
        <f t="shared" si="14"/>
        <v>99.99999999999999</v>
      </c>
      <c r="AQ42" s="280">
        <f t="shared" si="14"/>
        <v>69</v>
      </c>
    </row>
    <row r="43" spans="1:43" ht="12.75">
      <c r="A43" s="167" t="s">
        <v>236</v>
      </c>
      <c r="B43" s="149">
        <f aca="true" t="shared" si="15" ref="B43:P43">SUM(B45:B47)</f>
        <v>-325.7</v>
      </c>
      <c r="C43" s="150">
        <f t="shared" si="15"/>
        <v>-319.3</v>
      </c>
      <c r="D43" s="150">
        <f t="shared" si="15"/>
        <v>-319</v>
      </c>
      <c r="E43" s="151">
        <f t="shared" si="15"/>
        <v>-318.8</v>
      </c>
      <c r="F43" s="149">
        <f t="shared" si="15"/>
        <v>-346.1</v>
      </c>
      <c r="G43" s="150">
        <f t="shared" si="15"/>
        <v>-350.1</v>
      </c>
      <c r="H43" s="150">
        <f t="shared" si="15"/>
        <v>-345.6</v>
      </c>
      <c r="I43" s="151">
        <f t="shared" si="15"/>
        <v>-351.5</v>
      </c>
      <c r="J43" s="150">
        <f t="shared" si="15"/>
        <v>-350.1</v>
      </c>
      <c r="K43" s="150">
        <f t="shared" si="15"/>
        <v>-356</v>
      </c>
      <c r="L43" s="150">
        <f t="shared" si="15"/>
        <v>-354.59999999999997</v>
      </c>
      <c r="M43" s="150">
        <f t="shared" si="15"/>
        <v>-364.5</v>
      </c>
      <c r="N43" s="149">
        <f t="shared" si="15"/>
        <v>-360.2</v>
      </c>
      <c r="O43" s="150">
        <f t="shared" si="15"/>
        <v>-365.9</v>
      </c>
      <c r="P43" s="150">
        <f t="shared" si="15"/>
        <v>-345.8</v>
      </c>
      <c r="Q43" s="151">
        <f>SUM(Q45:Q47)</f>
        <v>-374.09999999999997</v>
      </c>
      <c r="R43" s="280">
        <f>SUM(R45:R47)</f>
        <v>-378.2</v>
      </c>
      <c r="S43" s="280">
        <f>SUM(S45:S47)</f>
        <v>-377.8</v>
      </c>
      <c r="T43" s="280">
        <f>SUM(T45:T47)</f>
        <v>-378.8</v>
      </c>
      <c r="U43" s="280">
        <f>SUM(U45:U47)</f>
        <v>-523.4</v>
      </c>
      <c r="V43" s="278">
        <f aca="true" t="shared" si="16" ref="V43:AA43">SUM(V45:V47)</f>
        <v>-458.09999999999997</v>
      </c>
      <c r="W43" s="280">
        <f t="shared" si="16"/>
        <v>-449.5</v>
      </c>
      <c r="X43" s="280">
        <f t="shared" si="16"/>
        <v>-452.6</v>
      </c>
      <c r="Y43" s="282">
        <f t="shared" si="16"/>
        <v>-447.09999999999997</v>
      </c>
      <c r="Z43" s="280">
        <f t="shared" si="16"/>
        <v>-443.1</v>
      </c>
      <c r="AA43" s="280">
        <f t="shared" si="16"/>
        <v>-445.2000000000001</v>
      </c>
      <c r="AB43" s="280">
        <f aca="true" t="shared" si="17" ref="AB43:AG43">SUM(AB45:AB47)</f>
        <v>-434.10000000000014</v>
      </c>
      <c r="AC43" s="282">
        <f t="shared" si="17"/>
        <v>-435.20000000000005</v>
      </c>
      <c r="AD43" s="278">
        <f t="shared" si="17"/>
        <v>-480.6</v>
      </c>
      <c r="AE43" s="280">
        <f t="shared" si="17"/>
        <v>-488</v>
      </c>
      <c r="AF43" s="280">
        <f t="shared" si="17"/>
        <v>-514.0999999999999</v>
      </c>
      <c r="AG43" s="282">
        <f t="shared" si="17"/>
        <v>-508.09999999999997</v>
      </c>
      <c r="AH43" s="280">
        <f>SUM(AH45:AH47)</f>
        <v>-545.3999999999999</v>
      </c>
      <c r="AI43" s="280">
        <f>SUM(AI45:AI47)</f>
        <v>-484.3</v>
      </c>
      <c r="AJ43" s="280">
        <f>SUM(AJ45:AJ47)</f>
        <v>-543.8</v>
      </c>
      <c r="AK43" s="282">
        <f>SUM(AK45:AK47)</f>
        <v>-559</v>
      </c>
      <c r="AL43" s="280">
        <f>SUM(AL45:AL47)</f>
        <v>-546.7</v>
      </c>
      <c r="AM43" s="280">
        <f>SUM(AM44:AM47)</f>
        <v>107.09999999999994</v>
      </c>
      <c r="AN43" s="280">
        <f>SUM(AN44:AN47)</f>
        <v>82.19999999999993</v>
      </c>
      <c r="AO43" s="282">
        <f>SUM(AO44:AO48)</f>
        <v>123.7</v>
      </c>
      <c r="AP43" s="280">
        <f>SUM(AP44:AP48)</f>
        <v>99.99999999999999</v>
      </c>
      <c r="AQ43" s="280">
        <f>SUM(AQ44:AQ48)</f>
        <v>69</v>
      </c>
    </row>
    <row r="44" spans="1:43" s="156" customFormat="1" ht="12.75">
      <c r="A44" s="152" t="s">
        <v>356</v>
      </c>
      <c r="B44" s="159" t="s">
        <v>214</v>
      </c>
      <c r="C44" s="160" t="s">
        <v>214</v>
      </c>
      <c r="D44" s="160" t="s">
        <v>214</v>
      </c>
      <c r="E44" s="161" t="s">
        <v>214</v>
      </c>
      <c r="F44" s="159" t="s">
        <v>214</v>
      </c>
      <c r="G44" s="160" t="s">
        <v>214</v>
      </c>
      <c r="H44" s="160" t="s">
        <v>214</v>
      </c>
      <c r="I44" s="161" t="s">
        <v>214</v>
      </c>
      <c r="J44" s="160" t="s">
        <v>214</v>
      </c>
      <c r="K44" s="160" t="s">
        <v>214</v>
      </c>
      <c r="L44" s="160" t="s">
        <v>214</v>
      </c>
      <c r="M44" s="160" t="s">
        <v>214</v>
      </c>
      <c r="N44" s="159" t="s">
        <v>214</v>
      </c>
      <c r="O44" s="160" t="s">
        <v>214</v>
      </c>
      <c r="P44" s="160" t="s">
        <v>214</v>
      </c>
      <c r="Q44" s="161" t="s">
        <v>214</v>
      </c>
      <c r="R44" s="160" t="s">
        <v>214</v>
      </c>
      <c r="S44" s="160" t="s">
        <v>214</v>
      </c>
      <c r="T44" s="160" t="s">
        <v>214</v>
      </c>
      <c r="U44" s="160" t="s">
        <v>214</v>
      </c>
      <c r="V44" s="159" t="s">
        <v>214</v>
      </c>
      <c r="W44" s="160" t="s">
        <v>214</v>
      </c>
      <c r="X44" s="160" t="s">
        <v>214</v>
      </c>
      <c r="Y44" s="161" t="s">
        <v>214</v>
      </c>
      <c r="Z44" s="160" t="s">
        <v>214</v>
      </c>
      <c r="AA44" s="160" t="s">
        <v>214</v>
      </c>
      <c r="AB44" s="160" t="s">
        <v>214</v>
      </c>
      <c r="AC44" s="161" t="s">
        <v>214</v>
      </c>
      <c r="AD44" s="159" t="s">
        <v>214</v>
      </c>
      <c r="AE44" s="160" t="s">
        <v>214</v>
      </c>
      <c r="AF44" s="160" t="s">
        <v>214</v>
      </c>
      <c r="AG44" s="161" t="s">
        <v>214</v>
      </c>
      <c r="AH44" s="160" t="s">
        <v>214</v>
      </c>
      <c r="AI44" s="160" t="s">
        <v>214</v>
      </c>
      <c r="AJ44" s="160" t="s">
        <v>214</v>
      </c>
      <c r="AK44" s="161" t="s">
        <v>214</v>
      </c>
      <c r="AL44" s="160" t="s">
        <v>214</v>
      </c>
      <c r="AM44" s="160">
        <v>663.8</v>
      </c>
      <c r="AN44" s="160">
        <v>646.8</v>
      </c>
      <c r="AO44" s="161">
        <v>663.6</v>
      </c>
      <c r="AP44" s="160">
        <v>632.9</v>
      </c>
      <c r="AQ44" s="160">
        <v>633.9</v>
      </c>
    </row>
    <row r="45" spans="1:43" s="156" customFormat="1" ht="12.75">
      <c r="A45" s="152" t="s">
        <v>267</v>
      </c>
      <c r="B45" s="153">
        <v>-325.7</v>
      </c>
      <c r="C45" s="154">
        <v>-319.3</v>
      </c>
      <c r="D45" s="154">
        <v>-319</v>
      </c>
      <c r="E45" s="155">
        <v>-318.8</v>
      </c>
      <c r="F45" s="153">
        <v>-315.8</v>
      </c>
      <c r="G45" s="154">
        <v>-311</v>
      </c>
      <c r="H45" s="154">
        <v>-309.5</v>
      </c>
      <c r="I45" s="155">
        <v>-316.2</v>
      </c>
      <c r="J45" s="154">
        <v>-313.5</v>
      </c>
      <c r="K45" s="154">
        <v>-317.8</v>
      </c>
      <c r="L45" s="154">
        <v>-316.4</v>
      </c>
      <c r="M45" s="154">
        <v>-327.3</v>
      </c>
      <c r="N45" s="153">
        <v>-322.9</v>
      </c>
      <c r="O45" s="154">
        <v>-325.9</v>
      </c>
      <c r="P45" s="154">
        <v>-325.8</v>
      </c>
      <c r="Q45" s="155">
        <v>-342.2</v>
      </c>
      <c r="R45" s="160">
        <v>-342</v>
      </c>
      <c r="S45" s="160">
        <v>-357.8</v>
      </c>
      <c r="T45" s="160">
        <v>-355.6</v>
      </c>
      <c r="U45" s="160">
        <v>-362</v>
      </c>
      <c r="V45" s="159">
        <v>-360.4</v>
      </c>
      <c r="W45" s="160">
        <v>-358.8</v>
      </c>
      <c r="X45" s="160">
        <v>-361.1</v>
      </c>
      <c r="Y45" s="161">
        <v>-361.59999999999997</v>
      </c>
      <c r="Z45" s="160">
        <v>-353.6</v>
      </c>
      <c r="AA45" s="160">
        <v>-353.1000000000001</v>
      </c>
      <c r="AB45" s="160">
        <v>-352.0000000000001</v>
      </c>
      <c r="AC45" s="161">
        <v>-365.90000000000003</v>
      </c>
      <c r="AD45" s="159">
        <v>-355.5</v>
      </c>
      <c r="AE45" s="160">
        <v>-354.1</v>
      </c>
      <c r="AF45" s="160">
        <v>-355.8999999999999</v>
      </c>
      <c r="AG45" s="161">
        <v>-371.4</v>
      </c>
      <c r="AH45" s="160">
        <v>-368.19999999999993</v>
      </c>
      <c r="AI45" s="160">
        <v>-373</v>
      </c>
      <c r="AJ45" s="160">
        <v>-390.7</v>
      </c>
      <c r="AK45" s="161">
        <v>-421</v>
      </c>
      <c r="AL45" s="160">
        <v>-418.1</v>
      </c>
      <c r="AM45" s="160">
        <v>-426.1</v>
      </c>
      <c r="AN45" s="160">
        <v>-430.1</v>
      </c>
      <c r="AO45" s="161">
        <v>-423.6</v>
      </c>
      <c r="AP45" s="160">
        <v>-411.7</v>
      </c>
      <c r="AQ45" s="160">
        <v>-416.4</v>
      </c>
    </row>
    <row r="46" spans="1:43" s="156" customFormat="1" ht="12.75">
      <c r="A46" s="152" t="s">
        <v>326</v>
      </c>
      <c r="B46" s="153">
        <v>0</v>
      </c>
      <c r="C46" s="154">
        <v>0</v>
      </c>
      <c r="D46" s="154">
        <v>0</v>
      </c>
      <c r="E46" s="155">
        <v>0</v>
      </c>
      <c r="F46" s="153">
        <v>-30.3</v>
      </c>
      <c r="G46" s="154">
        <v>-39.1</v>
      </c>
      <c r="H46" s="154">
        <v>-36.1</v>
      </c>
      <c r="I46" s="155">
        <v>-35.3</v>
      </c>
      <c r="J46" s="154">
        <v>-36.6</v>
      </c>
      <c r="K46" s="154">
        <v>-38.2</v>
      </c>
      <c r="L46" s="154">
        <v>-38.2</v>
      </c>
      <c r="M46" s="154">
        <v>-37.2</v>
      </c>
      <c r="N46" s="153">
        <v>-37.3</v>
      </c>
      <c r="O46" s="154">
        <v>-40</v>
      </c>
      <c r="P46" s="154">
        <v>-20</v>
      </c>
      <c r="Q46" s="155">
        <v>-31.9</v>
      </c>
      <c r="R46" s="160">
        <v>-36.2</v>
      </c>
      <c r="S46" s="160">
        <v>-20</v>
      </c>
      <c r="T46" s="160">
        <v>-23.2</v>
      </c>
      <c r="U46" s="160">
        <v>-20</v>
      </c>
      <c r="V46" s="159">
        <v>-20</v>
      </c>
      <c r="W46" s="160">
        <v>-20</v>
      </c>
      <c r="X46" s="160">
        <v>-20</v>
      </c>
      <c r="Y46" s="161">
        <v>-20</v>
      </c>
      <c r="Z46" s="160">
        <v>-20</v>
      </c>
      <c r="AA46" s="160">
        <v>-20</v>
      </c>
      <c r="AB46" s="160">
        <v>-20</v>
      </c>
      <c r="AC46" s="161">
        <v>-20</v>
      </c>
      <c r="AD46" s="159">
        <v>0</v>
      </c>
      <c r="AE46" s="160">
        <v>0</v>
      </c>
      <c r="AF46" s="160">
        <v>0</v>
      </c>
      <c r="AG46" s="161">
        <v>0</v>
      </c>
      <c r="AH46" s="160">
        <v>0</v>
      </c>
      <c r="AI46" s="160" t="s">
        <v>214</v>
      </c>
      <c r="AJ46" s="160" t="s">
        <v>214</v>
      </c>
      <c r="AK46" s="161" t="s">
        <v>214</v>
      </c>
      <c r="AL46" s="160">
        <v>0</v>
      </c>
      <c r="AM46" s="160" t="s">
        <v>214</v>
      </c>
      <c r="AN46" s="160" t="s">
        <v>214</v>
      </c>
      <c r="AO46" s="161" t="s">
        <v>214</v>
      </c>
      <c r="AP46" s="326" t="s">
        <v>214</v>
      </c>
      <c r="AQ46" s="160" t="s">
        <v>214</v>
      </c>
    </row>
    <row r="47" spans="1:43" s="156" customFormat="1" ht="12.75">
      <c r="A47" s="152" t="s">
        <v>327</v>
      </c>
      <c r="B47" s="153">
        <v>0</v>
      </c>
      <c r="C47" s="154">
        <v>0</v>
      </c>
      <c r="D47" s="154">
        <v>0</v>
      </c>
      <c r="E47" s="155">
        <v>0</v>
      </c>
      <c r="F47" s="153">
        <v>0</v>
      </c>
      <c r="G47" s="154">
        <v>0</v>
      </c>
      <c r="H47" s="154">
        <v>0</v>
      </c>
      <c r="I47" s="155">
        <v>0</v>
      </c>
      <c r="J47" s="154">
        <v>0</v>
      </c>
      <c r="K47" s="154">
        <v>0</v>
      </c>
      <c r="L47" s="154">
        <v>0</v>
      </c>
      <c r="M47" s="154">
        <v>0</v>
      </c>
      <c r="N47" s="153">
        <v>0</v>
      </c>
      <c r="O47" s="154">
        <v>0</v>
      </c>
      <c r="P47" s="154">
        <v>0</v>
      </c>
      <c r="Q47" s="155">
        <v>0</v>
      </c>
      <c r="R47" s="160">
        <v>0</v>
      </c>
      <c r="S47" s="160">
        <v>0</v>
      </c>
      <c r="T47" s="160">
        <v>0</v>
      </c>
      <c r="U47" s="160">
        <v>-141.39999999999998</v>
      </c>
      <c r="V47" s="159">
        <v>-77.7</v>
      </c>
      <c r="W47" s="160">
        <v>-70.7</v>
      </c>
      <c r="X47" s="160">
        <v>-71.5</v>
      </c>
      <c r="Y47" s="161">
        <v>-65.5</v>
      </c>
      <c r="Z47" s="160">
        <v>-69.5</v>
      </c>
      <c r="AA47" s="160">
        <v>-72.10000000000001</v>
      </c>
      <c r="AB47" s="160">
        <v>-62.099999999999994</v>
      </c>
      <c r="AC47" s="161">
        <v>-49.3</v>
      </c>
      <c r="AD47" s="159">
        <v>-125.1</v>
      </c>
      <c r="AE47" s="160">
        <v>-133.9</v>
      </c>
      <c r="AF47" s="160">
        <v>-158.2</v>
      </c>
      <c r="AG47" s="161">
        <v>-136.7</v>
      </c>
      <c r="AH47" s="160">
        <v>-177.2</v>
      </c>
      <c r="AI47" s="160">
        <v>-111.3</v>
      </c>
      <c r="AJ47" s="160">
        <v>-153.1</v>
      </c>
      <c r="AK47" s="161">
        <v>-138</v>
      </c>
      <c r="AL47" s="160">
        <v>-128.6</v>
      </c>
      <c r="AM47" s="160">
        <v>-130.6</v>
      </c>
      <c r="AN47" s="160">
        <v>-134.5</v>
      </c>
      <c r="AO47" s="161">
        <v>-115.7</v>
      </c>
      <c r="AP47" s="160">
        <v>-120.8</v>
      </c>
      <c r="AQ47" s="160">
        <v>-147.5</v>
      </c>
    </row>
    <row r="48" spans="1:43" s="156" customFormat="1" ht="12.75">
      <c r="A48" s="152"/>
      <c r="B48" s="153"/>
      <c r="C48" s="154"/>
      <c r="D48" s="154"/>
      <c r="E48" s="155"/>
      <c r="F48" s="153"/>
      <c r="G48" s="154"/>
      <c r="H48" s="154"/>
      <c r="I48" s="155"/>
      <c r="J48" s="154"/>
      <c r="K48" s="154"/>
      <c r="L48" s="154"/>
      <c r="M48" s="154"/>
      <c r="N48" s="153"/>
      <c r="O48" s="154"/>
      <c r="P48" s="154"/>
      <c r="Q48" s="155"/>
      <c r="R48" s="160"/>
      <c r="S48" s="160"/>
      <c r="T48" s="160"/>
      <c r="U48" s="160"/>
      <c r="V48" s="159"/>
      <c r="W48" s="160"/>
      <c r="X48" s="160"/>
      <c r="Y48" s="161"/>
      <c r="Z48" s="160"/>
      <c r="AA48" s="160"/>
      <c r="AB48" s="160"/>
      <c r="AC48" s="161"/>
      <c r="AD48" s="159"/>
      <c r="AE48" s="160"/>
      <c r="AF48" s="160"/>
      <c r="AG48" s="161"/>
      <c r="AH48" s="160"/>
      <c r="AI48" s="160"/>
      <c r="AJ48" s="160"/>
      <c r="AK48" s="161"/>
      <c r="AL48" s="160"/>
      <c r="AM48" s="160"/>
      <c r="AN48" s="160"/>
      <c r="AO48" s="161">
        <v>-0.6</v>
      </c>
      <c r="AP48" s="160">
        <v>-0.4</v>
      </c>
      <c r="AQ48" s="160">
        <v>-1</v>
      </c>
    </row>
    <row r="49" spans="1:43" ht="12.75">
      <c r="A49" s="167" t="s">
        <v>237</v>
      </c>
      <c r="B49" s="149">
        <f>SUM(B50:B51)</f>
        <v>0</v>
      </c>
      <c r="C49" s="150">
        <f aca="true" t="shared" si="18" ref="C49:X49">SUM(C50:C51)</f>
        <v>0</v>
      </c>
      <c r="D49" s="150">
        <f t="shared" si="18"/>
        <v>0</v>
      </c>
      <c r="E49" s="151">
        <f t="shared" si="18"/>
        <v>0</v>
      </c>
      <c r="F49" s="149">
        <f t="shared" si="18"/>
        <v>-9.7</v>
      </c>
      <c r="G49" s="150">
        <f t="shared" si="18"/>
        <v>-0.9</v>
      </c>
      <c r="H49" s="150">
        <f t="shared" si="18"/>
        <v>-3.9</v>
      </c>
      <c r="I49" s="151">
        <f t="shared" si="18"/>
        <v>-4.7</v>
      </c>
      <c r="J49" s="150">
        <f t="shared" si="18"/>
        <v>-3.4</v>
      </c>
      <c r="K49" s="150">
        <f t="shared" si="18"/>
        <v>-1.8</v>
      </c>
      <c r="L49" s="150">
        <f t="shared" si="18"/>
        <v>-1.8</v>
      </c>
      <c r="M49" s="150">
        <f t="shared" si="18"/>
        <v>-2.8</v>
      </c>
      <c r="N49" s="149">
        <f t="shared" si="18"/>
        <v>-2.7</v>
      </c>
      <c r="O49" s="150">
        <f t="shared" si="18"/>
        <v>0</v>
      </c>
      <c r="P49" s="150">
        <f t="shared" si="18"/>
        <v>-20</v>
      </c>
      <c r="Q49" s="151">
        <f t="shared" si="18"/>
        <v>-8.1</v>
      </c>
      <c r="R49" s="280">
        <f t="shared" si="18"/>
        <v>-3.8</v>
      </c>
      <c r="S49" s="280">
        <f t="shared" si="18"/>
        <v>-20</v>
      </c>
      <c r="T49" s="280">
        <f t="shared" si="18"/>
        <v>-16.8</v>
      </c>
      <c r="U49" s="280">
        <f t="shared" si="18"/>
        <v>-33.3</v>
      </c>
      <c r="V49" s="278">
        <f t="shared" si="18"/>
        <v>-97.7</v>
      </c>
      <c r="W49" s="280">
        <f t="shared" si="18"/>
        <v>-90.7</v>
      </c>
      <c r="X49" s="280">
        <f t="shared" si="18"/>
        <v>-91.5</v>
      </c>
      <c r="Y49" s="282">
        <f aca="true" t="shared" si="19" ref="Y49:AE49">SUM(Y50:Y51)</f>
        <v>-85.4</v>
      </c>
      <c r="Z49" s="280">
        <f t="shared" si="19"/>
        <v>-89.4</v>
      </c>
      <c r="AA49" s="280">
        <f t="shared" si="19"/>
        <v>-92.2</v>
      </c>
      <c r="AB49" s="280">
        <f t="shared" si="19"/>
        <v>-82.2</v>
      </c>
      <c r="AC49" s="282">
        <f t="shared" si="19"/>
        <v>-69.3</v>
      </c>
      <c r="AD49" s="278">
        <f t="shared" si="19"/>
        <v>0</v>
      </c>
      <c r="AE49" s="280">
        <f t="shared" si="19"/>
        <v>0</v>
      </c>
      <c r="AF49" s="280">
        <f aca="true" t="shared" si="20" ref="AF49:AK49">SUM(AF50:AF51)</f>
        <v>0</v>
      </c>
      <c r="AG49" s="282">
        <f t="shared" si="20"/>
        <v>0</v>
      </c>
      <c r="AH49" s="280">
        <f t="shared" si="20"/>
        <v>0</v>
      </c>
      <c r="AI49" s="280">
        <f t="shared" si="20"/>
        <v>0</v>
      </c>
      <c r="AJ49" s="280">
        <f t="shared" si="20"/>
        <v>0</v>
      </c>
      <c r="AK49" s="282">
        <f t="shared" si="20"/>
        <v>0</v>
      </c>
      <c r="AL49" s="280">
        <f aca="true" t="shared" si="21" ref="AL49:AQ49">SUM(AL50:AL51)</f>
        <v>0</v>
      </c>
      <c r="AM49" s="280">
        <f t="shared" si="21"/>
        <v>0</v>
      </c>
      <c r="AN49" s="280">
        <f t="shared" si="21"/>
        <v>0</v>
      </c>
      <c r="AO49" s="282">
        <f t="shared" si="21"/>
        <v>0</v>
      </c>
      <c r="AP49" s="280">
        <f t="shared" si="21"/>
        <v>0</v>
      </c>
      <c r="AQ49" s="280">
        <f t="shared" si="21"/>
        <v>0</v>
      </c>
    </row>
    <row r="50" spans="1:43" s="156" customFormat="1" ht="12.75">
      <c r="A50" s="152" t="s">
        <v>326</v>
      </c>
      <c r="B50" s="153">
        <v>0</v>
      </c>
      <c r="C50" s="154">
        <v>0</v>
      </c>
      <c r="D50" s="154">
        <v>0</v>
      </c>
      <c r="E50" s="155">
        <v>0</v>
      </c>
      <c r="F50" s="153">
        <v>-9.7</v>
      </c>
      <c r="G50" s="154">
        <v>-0.9</v>
      </c>
      <c r="H50" s="154">
        <v>-3.9</v>
      </c>
      <c r="I50" s="155">
        <v>-4.7</v>
      </c>
      <c r="J50" s="154">
        <v>-3.4</v>
      </c>
      <c r="K50" s="154">
        <v>-1.8</v>
      </c>
      <c r="L50" s="154">
        <v>-1.8</v>
      </c>
      <c r="M50" s="154">
        <v>-2.8</v>
      </c>
      <c r="N50" s="153">
        <v>-2.7</v>
      </c>
      <c r="O50" s="154">
        <v>0</v>
      </c>
      <c r="P50" s="154">
        <v>-20</v>
      </c>
      <c r="Q50" s="155">
        <v>-8.1</v>
      </c>
      <c r="R50" s="160">
        <v>-3.8</v>
      </c>
      <c r="S50" s="160">
        <v>-20</v>
      </c>
      <c r="T50" s="160">
        <v>-16.8</v>
      </c>
      <c r="U50" s="160">
        <v>-20</v>
      </c>
      <c r="V50" s="159">
        <v>-20</v>
      </c>
      <c r="W50" s="160">
        <v>-20</v>
      </c>
      <c r="X50" s="160">
        <v>-20</v>
      </c>
      <c r="Y50" s="161">
        <v>-20</v>
      </c>
      <c r="Z50" s="160">
        <v>-20</v>
      </c>
      <c r="AA50" s="160">
        <v>-20</v>
      </c>
      <c r="AB50" s="160">
        <v>-20</v>
      </c>
      <c r="AC50" s="161">
        <v>-20</v>
      </c>
      <c r="AD50" s="159" t="s">
        <v>214</v>
      </c>
      <c r="AE50" s="160" t="s">
        <v>214</v>
      </c>
      <c r="AF50" s="160" t="s">
        <v>214</v>
      </c>
      <c r="AG50" s="161" t="s">
        <v>214</v>
      </c>
      <c r="AH50" s="160" t="s">
        <v>214</v>
      </c>
      <c r="AI50" s="160" t="s">
        <v>214</v>
      </c>
      <c r="AJ50" s="160" t="s">
        <v>214</v>
      </c>
      <c r="AK50" s="161" t="s">
        <v>214</v>
      </c>
      <c r="AL50" s="160" t="s">
        <v>214</v>
      </c>
      <c r="AM50" s="160" t="s">
        <v>214</v>
      </c>
      <c r="AN50" s="160" t="s">
        <v>214</v>
      </c>
      <c r="AO50" s="161" t="s">
        <v>214</v>
      </c>
      <c r="AP50" s="160" t="s">
        <v>214</v>
      </c>
      <c r="AQ50" s="160" t="s">
        <v>214</v>
      </c>
    </row>
    <row r="51" spans="1:43" s="156" customFormat="1" ht="12.75">
      <c r="A51" s="152" t="s">
        <v>327</v>
      </c>
      <c r="B51" s="153">
        <v>0</v>
      </c>
      <c r="C51" s="154">
        <v>0</v>
      </c>
      <c r="D51" s="154">
        <v>0</v>
      </c>
      <c r="E51" s="155">
        <v>0</v>
      </c>
      <c r="F51" s="153">
        <v>0</v>
      </c>
      <c r="G51" s="154">
        <v>0</v>
      </c>
      <c r="H51" s="154">
        <v>0</v>
      </c>
      <c r="I51" s="155">
        <v>0</v>
      </c>
      <c r="J51" s="154">
        <v>0</v>
      </c>
      <c r="K51" s="154">
        <v>0</v>
      </c>
      <c r="L51" s="154">
        <v>0</v>
      </c>
      <c r="M51" s="154">
        <v>0</v>
      </c>
      <c r="N51" s="153">
        <v>0</v>
      </c>
      <c r="O51" s="154">
        <v>0</v>
      </c>
      <c r="P51" s="154">
        <v>0</v>
      </c>
      <c r="Q51" s="155">
        <v>0</v>
      </c>
      <c r="R51" s="160">
        <v>0</v>
      </c>
      <c r="S51" s="160">
        <v>0</v>
      </c>
      <c r="T51" s="160">
        <v>0</v>
      </c>
      <c r="U51" s="160">
        <v>-13.299999999999997</v>
      </c>
      <c r="V51" s="159">
        <v>-77.7</v>
      </c>
      <c r="W51" s="160">
        <v>-70.7</v>
      </c>
      <c r="X51" s="160">
        <v>-71.5</v>
      </c>
      <c r="Y51" s="161">
        <v>-65.4</v>
      </c>
      <c r="Z51" s="160">
        <v>-69.4</v>
      </c>
      <c r="AA51" s="160">
        <v>-72.2</v>
      </c>
      <c r="AB51" s="160">
        <v>-62.2</v>
      </c>
      <c r="AC51" s="161">
        <v>-49.3</v>
      </c>
      <c r="AD51" s="159" t="s">
        <v>214</v>
      </c>
      <c r="AE51" s="160" t="s">
        <v>214</v>
      </c>
      <c r="AF51" s="160" t="s">
        <v>214</v>
      </c>
      <c r="AG51" s="161" t="s">
        <v>214</v>
      </c>
      <c r="AH51" s="160" t="s">
        <v>214</v>
      </c>
      <c r="AI51" s="160" t="s">
        <v>214</v>
      </c>
      <c r="AJ51" s="160" t="s">
        <v>214</v>
      </c>
      <c r="AK51" s="161" t="s">
        <v>214</v>
      </c>
      <c r="AL51" s="160" t="s">
        <v>214</v>
      </c>
      <c r="AM51" s="160" t="s">
        <v>214</v>
      </c>
      <c r="AN51" s="160" t="s">
        <v>214</v>
      </c>
      <c r="AO51" s="161" t="s">
        <v>214</v>
      </c>
      <c r="AP51" s="160" t="s">
        <v>214</v>
      </c>
      <c r="AQ51" s="160" t="s">
        <v>214</v>
      </c>
    </row>
    <row r="52" spans="1:43" ht="12.75">
      <c r="A52" s="193" t="s">
        <v>268</v>
      </c>
      <c r="B52" s="149">
        <v>38.1</v>
      </c>
      <c r="C52" s="150">
        <v>9</v>
      </c>
      <c r="D52" s="150">
        <v>141.2</v>
      </c>
      <c r="E52" s="151">
        <v>91.8</v>
      </c>
      <c r="F52" s="149">
        <v>30.7</v>
      </c>
      <c r="G52" s="150">
        <v>58.4</v>
      </c>
      <c r="H52" s="150">
        <v>89.9</v>
      </c>
      <c r="I52" s="151">
        <v>79.7</v>
      </c>
      <c r="J52" s="150">
        <v>0</v>
      </c>
      <c r="K52" s="150">
        <v>63.5</v>
      </c>
      <c r="L52" s="150">
        <v>54.8</v>
      </c>
      <c r="M52" s="150">
        <v>65.5</v>
      </c>
      <c r="N52" s="149">
        <v>55.4</v>
      </c>
      <c r="O52" s="150">
        <v>38.9</v>
      </c>
      <c r="P52" s="150">
        <v>32.2</v>
      </c>
      <c r="Q52" s="151">
        <v>26.5</v>
      </c>
      <c r="R52" s="280">
        <v>62.1</v>
      </c>
      <c r="S52" s="280">
        <v>59.8</v>
      </c>
      <c r="T52" s="280">
        <v>40.4</v>
      </c>
      <c r="U52" s="280">
        <v>32.7</v>
      </c>
      <c r="V52" s="278">
        <v>41.6</v>
      </c>
      <c r="W52" s="280">
        <v>42.1</v>
      </c>
      <c r="X52" s="280">
        <v>40.4</v>
      </c>
      <c r="Y52" s="282">
        <v>44.4</v>
      </c>
      <c r="Z52" s="280">
        <v>37.6</v>
      </c>
      <c r="AA52" s="280">
        <v>51.4</v>
      </c>
      <c r="AB52" s="280">
        <v>39.1</v>
      </c>
      <c r="AC52" s="282">
        <v>34.7</v>
      </c>
      <c r="AD52" s="278" t="s">
        <v>214</v>
      </c>
      <c r="AE52" s="280" t="s">
        <v>214</v>
      </c>
      <c r="AF52" s="280" t="s">
        <v>214</v>
      </c>
      <c r="AG52" s="282" t="s">
        <v>214</v>
      </c>
      <c r="AH52" s="280" t="s">
        <v>214</v>
      </c>
      <c r="AI52" s="280" t="s">
        <v>214</v>
      </c>
      <c r="AJ52" s="280" t="s">
        <v>214</v>
      </c>
      <c r="AK52" s="282" t="s">
        <v>214</v>
      </c>
      <c r="AL52" s="280" t="s">
        <v>214</v>
      </c>
      <c r="AM52" s="280" t="s">
        <v>214</v>
      </c>
      <c r="AN52" s="280" t="s">
        <v>214</v>
      </c>
      <c r="AO52" s="282" t="s">
        <v>214</v>
      </c>
      <c r="AP52" s="280" t="s">
        <v>214</v>
      </c>
      <c r="AQ52" s="280" t="s">
        <v>214</v>
      </c>
    </row>
    <row r="53" spans="1:43" s="156" customFormat="1" ht="13.5" thickBot="1">
      <c r="A53" s="207"/>
      <c r="B53" s="269"/>
      <c r="C53" s="270"/>
      <c r="D53" s="270"/>
      <c r="E53" s="271"/>
      <c r="F53" s="269"/>
      <c r="G53" s="270"/>
      <c r="H53" s="270"/>
      <c r="I53" s="271"/>
      <c r="J53" s="270"/>
      <c r="K53" s="270"/>
      <c r="L53" s="270"/>
      <c r="M53" s="270"/>
      <c r="N53" s="269"/>
      <c r="O53" s="270"/>
      <c r="P53" s="270"/>
      <c r="Q53" s="271"/>
      <c r="R53" s="285"/>
      <c r="S53" s="285"/>
      <c r="T53" s="285"/>
      <c r="U53" s="285"/>
      <c r="V53" s="302"/>
      <c r="W53" s="285"/>
      <c r="X53" s="285"/>
      <c r="Y53" s="286"/>
      <c r="Z53" s="285"/>
      <c r="AA53" s="285"/>
      <c r="AB53" s="285"/>
      <c r="AC53" s="286"/>
      <c r="AD53" s="302"/>
      <c r="AE53" s="285"/>
      <c r="AF53" s="285"/>
      <c r="AG53" s="286"/>
      <c r="AH53" s="285"/>
      <c r="AI53" s="285"/>
      <c r="AJ53" s="285"/>
      <c r="AK53" s="286"/>
      <c r="AL53" s="285"/>
      <c r="AM53" s="285"/>
      <c r="AN53" s="285"/>
      <c r="AO53" s="286"/>
      <c r="AP53" s="285"/>
      <c r="AQ53" s="285"/>
    </row>
    <row r="54" spans="1:43" ht="36.75" thickBot="1">
      <c r="A54" s="212" t="s">
        <v>328</v>
      </c>
      <c r="B54" s="272" t="s">
        <v>214</v>
      </c>
      <c r="C54" s="273" t="s">
        <v>214</v>
      </c>
      <c r="D54" s="273" t="s">
        <v>214</v>
      </c>
      <c r="E54" s="274" t="s">
        <v>214</v>
      </c>
      <c r="F54" s="272" t="s">
        <v>214</v>
      </c>
      <c r="G54" s="273" t="s">
        <v>214</v>
      </c>
      <c r="H54" s="273" t="s">
        <v>214</v>
      </c>
      <c r="I54" s="274" t="s">
        <v>214</v>
      </c>
      <c r="J54" s="273" t="s">
        <v>214</v>
      </c>
      <c r="K54" s="273" t="s">
        <v>214</v>
      </c>
      <c r="L54" s="273" t="s">
        <v>214</v>
      </c>
      <c r="M54" s="273" t="s">
        <v>214</v>
      </c>
      <c r="N54" s="272" t="s">
        <v>214</v>
      </c>
      <c r="O54" s="273" t="s">
        <v>214</v>
      </c>
      <c r="P54" s="273" t="s">
        <v>214</v>
      </c>
      <c r="Q54" s="274" t="s">
        <v>214</v>
      </c>
      <c r="R54" s="273" t="s">
        <v>214</v>
      </c>
      <c r="S54" s="273" t="s">
        <v>214</v>
      </c>
      <c r="T54" s="273" t="s">
        <v>214</v>
      </c>
      <c r="U54" s="273">
        <f aca="true" t="shared" si="22" ref="U54:AA54">SUM(U15,U28,U43,U49,U52)</f>
        <v>5326.5</v>
      </c>
      <c r="V54" s="272">
        <f t="shared" si="22"/>
        <v>5845.700000000001</v>
      </c>
      <c r="W54" s="273">
        <f t="shared" si="22"/>
        <v>6157.500000000001</v>
      </c>
      <c r="X54" s="273">
        <f t="shared" si="22"/>
        <v>6485.5999999999985</v>
      </c>
      <c r="Y54" s="274">
        <f t="shared" si="22"/>
        <v>6797.2</v>
      </c>
      <c r="Z54" s="273">
        <f t="shared" si="22"/>
        <v>7016.900000000001</v>
      </c>
      <c r="AA54" s="273">
        <f t="shared" si="22"/>
        <v>6853.199999999999</v>
      </c>
      <c r="AB54" s="273">
        <f aca="true" t="shared" si="23" ref="AB54:AG54">SUM(AB15,AB28,AB43,AB49,AB52)</f>
        <v>7279.1</v>
      </c>
      <c r="AC54" s="274">
        <f t="shared" si="23"/>
        <v>7285.999999999999</v>
      </c>
      <c r="AD54" s="272">
        <f t="shared" si="23"/>
        <v>6565.699999999999</v>
      </c>
      <c r="AE54" s="273">
        <f t="shared" si="23"/>
        <v>6965.3</v>
      </c>
      <c r="AF54" s="273">
        <f t="shared" si="23"/>
        <v>6978.299999999999</v>
      </c>
      <c r="AG54" s="274">
        <f t="shared" si="23"/>
        <v>6983.4</v>
      </c>
      <c r="AH54" s="273">
        <f aca="true" t="shared" si="24" ref="AH54:AQ54">SUM(AH15,AH28,AH43,AH49,AH52)</f>
        <v>7647.200000000001</v>
      </c>
      <c r="AI54" s="273">
        <f t="shared" si="24"/>
        <v>7641.399999999999</v>
      </c>
      <c r="AJ54" s="273">
        <f t="shared" si="24"/>
        <v>7842.199999999998</v>
      </c>
      <c r="AK54" s="274">
        <f t="shared" si="24"/>
        <v>7920.0999999999985</v>
      </c>
      <c r="AL54" s="273">
        <f t="shared" si="24"/>
        <v>8346.400000000001</v>
      </c>
      <c r="AM54" s="273">
        <f>SUM(AM15,AM28,AM43,AM49,AM52)</f>
        <v>8952.6</v>
      </c>
      <c r="AN54" s="273">
        <f>SUM(AN15,AN28,AN43,AN49,AN52)</f>
        <v>9232.300000000001</v>
      </c>
      <c r="AO54" s="274">
        <f t="shared" si="24"/>
        <v>9193.600000000002</v>
      </c>
      <c r="AP54" s="273">
        <f t="shared" si="24"/>
        <v>9227.4</v>
      </c>
      <c r="AQ54" s="273">
        <f t="shared" si="24"/>
        <v>10184.1</v>
      </c>
    </row>
    <row r="55" spans="1:43" ht="12.75">
      <c r="A55" s="208" t="s">
        <v>332</v>
      </c>
      <c r="B55" s="209" t="s">
        <v>214</v>
      </c>
      <c r="C55" s="210" t="s">
        <v>214</v>
      </c>
      <c r="D55" s="210" t="s">
        <v>214</v>
      </c>
      <c r="E55" s="211" t="s">
        <v>214</v>
      </c>
      <c r="F55" s="209" t="s">
        <v>214</v>
      </c>
      <c r="G55" s="210" t="s">
        <v>214</v>
      </c>
      <c r="H55" s="210" t="s">
        <v>214</v>
      </c>
      <c r="I55" s="211" t="s">
        <v>214</v>
      </c>
      <c r="J55" s="210" t="s">
        <v>214</v>
      </c>
      <c r="K55" s="210" t="s">
        <v>214</v>
      </c>
      <c r="L55" s="210" t="s">
        <v>214</v>
      </c>
      <c r="M55" s="210" t="s">
        <v>214</v>
      </c>
      <c r="N55" s="209" t="s">
        <v>214</v>
      </c>
      <c r="O55" s="210" t="s">
        <v>214</v>
      </c>
      <c r="P55" s="210" t="s">
        <v>214</v>
      </c>
      <c r="Q55" s="211" t="s">
        <v>214</v>
      </c>
      <c r="R55" s="210" t="s">
        <v>214</v>
      </c>
      <c r="S55" s="210" t="s">
        <v>214</v>
      </c>
      <c r="T55" s="210" t="s">
        <v>214</v>
      </c>
      <c r="U55" s="210">
        <f aca="true" t="shared" si="25" ref="U55:AA55">SUM(U15,U43)</f>
        <v>5293.8</v>
      </c>
      <c r="V55" s="209">
        <f t="shared" si="25"/>
        <v>5801.8</v>
      </c>
      <c r="W55" s="210">
        <f t="shared" si="25"/>
        <v>6078.8</v>
      </c>
      <c r="X55" s="210">
        <f t="shared" si="25"/>
        <v>6247.699999999999</v>
      </c>
      <c r="Y55" s="211">
        <f t="shared" si="25"/>
        <v>6252.8</v>
      </c>
      <c r="Z55" s="210">
        <f t="shared" si="25"/>
        <v>6649.9</v>
      </c>
      <c r="AA55" s="210">
        <f t="shared" si="25"/>
        <v>6598.799999999999</v>
      </c>
      <c r="AB55" s="210">
        <f>SUM(AB15,AB43)</f>
        <v>7110.2</v>
      </c>
      <c r="AC55" s="211">
        <f>SUM(AC15,AC43)</f>
        <v>7025.299999999999</v>
      </c>
      <c r="AD55" s="209">
        <v>6565.699999999999</v>
      </c>
      <c r="AE55" s="210">
        <v>6965.3</v>
      </c>
      <c r="AF55" s="210">
        <v>6978.299999999999</v>
      </c>
      <c r="AG55" s="211">
        <v>6983.4</v>
      </c>
      <c r="AH55" s="210">
        <v>7647.200000000001</v>
      </c>
      <c r="AI55" s="210">
        <v>7641.399999999999</v>
      </c>
      <c r="AJ55" s="210">
        <v>7842.199999999998</v>
      </c>
      <c r="AK55" s="211">
        <v>7920.0999999999985</v>
      </c>
      <c r="AL55" s="210">
        <v>8346.400000000001</v>
      </c>
      <c r="AM55" s="210">
        <v>8314.9</v>
      </c>
      <c r="AN55" s="210">
        <v>8612.4</v>
      </c>
      <c r="AO55" s="211">
        <v>8553.1</v>
      </c>
      <c r="AP55" s="210">
        <v>8606.5</v>
      </c>
      <c r="AQ55" s="210">
        <v>9564.9</v>
      </c>
    </row>
    <row r="56" spans="1:43" ht="12.75">
      <c r="A56" s="168" t="s">
        <v>331</v>
      </c>
      <c r="B56" s="169" t="s">
        <v>214</v>
      </c>
      <c r="C56" s="170" t="s">
        <v>214</v>
      </c>
      <c r="D56" s="170" t="s">
        <v>214</v>
      </c>
      <c r="E56" s="171" t="s">
        <v>214</v>
      </c>
      <c r="F56" s="169" t="s">
        <v>214</v>
      </c>
      <c r="G56" s="170" t="s">
        <v>214</v>
      </c>
      <c r="H56" s="170" t="s">
        <v>214</v>
      </c>
      <c r="I56" s="171" t="s">
        <v>214</v>
      </c>
      <c r="J56" s="170" t="s">
        <v>214</v>
      </c>
      <c r="K56" s="170" t="s">
        <v>214</v>
      </c>
      <c r="L56" s="170" t="s">
        <v>214</v>
      </c>
      <c r="M56" s="170" t="s">
        <v>214</v>
      </c>
      <c r="N56" s="169" t="s">
        <v>214</v>
      </c>
      <c r="O56" s="170" t="s">
        <v>214</v>
      </c>
      <c r="P56" s="170" t="s">
        <v>214</v>
      </c>
      <c r="Q56" s="171" t="s">
        <v>214</v>
      </c>
      <c r="R56" s="170" t="s">
        <v>214</v>
      </c>
      <c r="S56" s="170" t="s">
        <v>214</v>
      </c>
      <c r="T56" s="170" t="s">
        <v>214</v>
      </c>
      <c r="U56" s="170">
        <f aca="true" t="shared" si="26" ref="U56:AA56">SUM(U28,U49)</f>
        <v>0</v>
      </c>
      <c r="V56" s="169">
        <f t="shared" si="26"/>
        <v>2.299999999999997</v>
      </c>
      <c r="W56" s="170">
        <f t="shared" si="26"/>
        <v>36.599999999999994</v>
      </c>
      <c r="X56" s="170">
        <f t="shared" si="26"/>
        <v>197.5</v>
      </c>
      <c r="Y56" s="171">
        <f t="shared" si="26"/>
        <v>500</v>
      </c>
      <c r="Z56" s="170">
        <f t="shared" si="26"/>
        <v>329.4</v>
      </c>
      <c r="AA56" s="170">
        <f t="shared" si="26"/>
        <v>203</v>
      </c>
      <c r="AB56" s="170">
        <f>SUM(AB28,AB49)</f>
        <v>129.8</v>
      </c>
      <c r="AC56" s="171">
        <f>SUM(AC28,AC49)</f>
        <v>226</v>
      </c>
      <c r="AD56" s="169">
        <v>0</v>
      </c>
      <c r="AE56" s="170">
        <v>0</v>
      </c>
      <c r="AF56" s="170">
        <v>0</v>
      </c>
      <c r="AG56" s="171">
        <v>0</v>
      </c>
      <c r="AH56" s="170">
        <v>0</v>
      </c>
      <c r="AI56" s="170">
        <v>0</v>
      </c>
      <c r="AJ56" s="170">
        <v>0</v>
      </c>
      <c r="AK56" s="171">
        <v>0</v>
      </c>
      <c r="AL56" s="170">
        <v>0</v>
      </c>
      <c r="AM56" s="170">
        <v>637.7</v>
      </c>
      <c r="AN56" s="170">
        <v>619.9</v>
      </c>
      <c r="AO56" s="171">
        <v>640.5</v>
      </c>
      <c r="AP56" s="170">
        <v>620.9</v>
      </c>
      <c r="AQ56" s="170">
        <v>619.2</v>
      </c>
    </row>
    <row r="57" spans="1:43" ht="12.75">
      <c r="A57" s="168" t="s">
        <v>330</v>
      </c>
      <c r="B57" s="169" t="s">
        <v>214</v>
      </c>
      <c r="C57" s="170" t="s">
        <v>214</v>
      </c>
      <c r="D57" s="170" t="s">
        <v>214</v>
      </c>
      <c r="E57" s="171" t="s">
        <v>214</v>
      </c>
      <c r="F57" s="169" t="s">
        <v>214</v>
      </c>
      <c r="G57" s="170" t="s">
        <v>214</v>
      </c>
      <c r="H57" s="170" t="s">
        <v>214</v>
      </c>
      <c r="I57" s="171" t="s">
        <v>214</v>
      </c>
      <c r="J57" s="170" t="s">
        <v>214</v>
      </c>
      <c r="K57" s="170" t="s">
        <v>214</v>
      </c>
      <c r="L57" s="170" t="s">
        <v>214</v>
      </c>
      <c r="M57" s="170" t="s">
        <v>214</v>
      </c>
      <c r="N57" s="169" t="s">
        <v>214</v>
      </c>
      <c r="O57" s="170" t="s">
        <v>214</v>
      </c>
      <c r="P57" s="170" t="s">
        <v>214</v>
      </c>
      <c r="Q57" s="171" t="s">
        <v>214</v>
      </c>
      <c r="R57" s="170" t="s">
        <v>214</v>
      </c>
      <c r="S57" s="170" t="s">
        <v>214</v>
      </c>
      <c r="T57" s="170" t="s">
        <v>214</v>
      </c>
      <c r="U57" s="170">
        <f aca="true" t="shared" si="27" ref="U57:AA57">SUM(U52)</f>
        <v>32.7</v>
      </c>
      <c r="V57" s="169">
        <f t="shared" si="27"/>
        <v>41.6</v>
      </c>
      <c r="W57" s="170">
        <f t="shared" si="27"/>
        <v>42.1</v>
      </c>
      <c r="X57" s="170">
        <f t="shared" si="27"/>
        <v>40.4</v>
      </c>
      <c r="Y57" s="171">
        <f t="shared" si="27"/>
        <v>44.4</v>
      </c>
      <c r="Z57" s="170">
        <f t="shared" si="27"/>
        <v>37.6</v>
      </c>
      <c r="AA57" s="170">
        <f t="shared" si="27"/>
        <v>51.4</v>
      </c>
      <c r="AB57" s="170">
        <f>SUM(AB52)</f>
        <v>39.1</v>
      </c>
      <c r="AC57" s="171">
        <f>SUM(AC52)</f>
        <v>34.7</v>
      </c>
      <c r="AD57" s="169">
        <v>0</v>
      </c>
      <c r="AE57" s="170">
        <v>0</v>
      </c>
      <c r="AF57" s="170">
        <v>0</v>
      </c>
      <c r="AG57" s="171">
        <v>0</v>
      </c>
      <c r="AH57" s="170">
        <v>0</v>
      </c>
      <c r="AI57" s="170">
        <v>0</v>
      </c>
      <c r="AJ57" s="170">
        <v>0</v>
      </c>
      <c r="AK57" s="171">
        <v>0</v>
      </c>
      <c r="AL57" s="170">
        <v>0</v>
      </c>
      <c r="AM57" s="170">
        <v>0</v>
      </c>
      <c r="AN57" s="170">
        <v>0</v>
      </c>
      <c r="AO57" s="171">
        <v>0</v>
      </c>
      <c r="AP57" s="170">
        <v>0</v>
      </c>
      <c r="AQ57" s="170">
        <v>0</v>
      </c>
    </row>
    <row r="58" spans="1:43" ht="13.5" thickBot="1">
      <c r="A58" s="168"/>
      <c r="B58" s="169"/>
      <c r="C58" s="170"/>
      <c r="D58" s="170"/>
      <c r="E58" s="171"/>
      <c r="F58" s="169"/>
      <c r="G58" s="170"/>
      <c r="H58" s="170"/>
      <c r="I58" s="171"/>
      <c r="J58" s="170"/>
      <c r="K58" s="170"/>
      <c r="L58" s="170"/>
      <c r="M58" s="170"/>
      <c r="N58" s="169"/>
      <c r="O58" s="170"/>
      <c r="P58" s="170"/>
      <c r="Q58" s="171"/>
      <c r="R58" s="170"/>
      <c r="S58" s="170"/>
      <c r="T58" s="170"/>
      <c r="U58" s="170"/>
      <c r="V58" s="169"/>
      <c r="W58" s="170"/>
      <c r="X58" s="170"/>
      <c r="Y58" s="171"/>
      <c r="Z58" s="170"/>
      <c r="AA58" s="170"/>
      <c r="AB58" s="170"/>
      <c r="AC58" s="171"/>
      <c r="AD58" s="169"/>
      <c r="AE58" s="170"/>
      <c r="AF58" s="170"/>
      <c r="AG58" s="171"/>
      <c r="AH58" s="170"/>
      <c r="AI58" s="170"/>
      <c r="AJ58" s="170"/>
      <c r="AK58" s="171"/>
      <c r="AL58" s="170"/>
      <c r="AM58" s="170"/>
      <c r="AN58" s="170"/>
      <c r="AO58" s="171"/>
      <c r="AP58" s="170"/>
      <c r="AQ58" s="170"/>
    </row>
    <row r="59" spans="1:43" ht="36.75" thickBot="1">
      <c r="A59" s="212" t="s">
        <v>329</v>
      </c>
      <c r="B59" s="272">
        <f>SUM(B15,B28,B45,B46,B50,B52)</f>
        <v>2883.8</v>
      </c>
      <c r="C59" s="273">
        <f aca="true" t="shared" si="28" ref="C59:V59">SUM(C15,C28,C45,C46,C50,C52)</f>
        <v>3005.3999999999996</v>
      </c>
      <c r="D59" s="273">
        <f t="shared" si="28"/>
        <v>3111.0999999999995</v>
      </c>
      <c r="E59" s="274">
        <f t="shared" si="28"/>
        <v>2982.7999999999997</v>
      </c>
      <c r="F59" s="272">
        <f t="shared" si="28"/>
        <v>3255.299999999999</v>
      </c>
      <c r="G59" s="273">
        <f t="shared" si="28"/>
        <v>3248.0999999999995</v>
      </c>
      <c r="H59" s="273">
        <f t="shared" si="28"/>
        <v>3798.4</v>
      </c>
      <c r="I59" s="274">
        <f t="shared" si="28"/>
        <v>3811.5999999999995</v>
      </c>
      <c r="J59" s="273">
        <f t="shared" si="28"/>
        <v>3752.0999999999995</v>
      </c>
      <c r="K59" s="273">
        <f t="shared" si="28"/>
        <v>3885.3999999999996</v>
      </c>
      <c r="L59" s="273">
        <f t="shared" si="28"/>
        <v>4166.100000000001</v>
      </c>
      <c r="M59" s="273">
        <f t="shared" si="28"/>
        <v>4186.400000000001</v>
      </c>
      <c r="N59" s="272">
        <f t="shared" si="28"/>
        <v>4517.6</v>
      </c>
      <c r="O59" s="273">
        <f t="shared" si="28"/>
        <v>4491.500000000001</v>
      </c>
      <c r="P59" s="273">
        <f t="shared" si="28"/>
        <v>4889.699999999999</v>
      </c>
      <c r="Q59" s="274">
        <f t="shared" si="28"/>
        <v>4843.9</v>
      </c>
      <c r="R59" s="273">
        <f t="shared" si="28"/>
        <v>5016.4</v>
      </c>
      <c r="S59" s="273">
        <f t="shared" si="28"/>
        <v>5089.900000000001</v>
      </c>
      <c r="T59" s="273">
        <f t="shared" si="28"/>
        <v>5481.0999999999985</v>
      </c>
      <c r="U59" s="273">
        <f t="shared" si="28"/>
        <v>5481.2</v>
      </c>
      <c r="V59" s="272">
        <f t="shared" si="28"/>
        <v>6001.100000000001</v>
      </c>
      <c r="W59" s="273">
        <f>SUM(W15,W28,W45,W46,W50,W52)</f>
        <v>6298.900000000001</v>
      </c>
      <c r="X59" s="273">
        <f>SUM(X15,X28,X45,X46,X50,X52)</f>
        <v>6628.5999999999985</v>
      </c>
      <c r="Y59" s="274">
        <f>SUM(Y15,Y28,Y45,Y46,Y50,Y52)</f>
        <v>6928.099999999999</v>
      </c>
      <c r="Z59" s="273">
        <f>SUM(Z15,Z28,Z45,Z46,Z50,Z52)</f>
        <v>7155.8</v>
      </c>
      <c r="AA59" s="273" t="s">
        <v>214</v>
      </c>
      <c r="AB59" s="273" t="s">
        <v>214</v>
      </c>
      <c r="AC59" s="274" t="s">
        <v>214</v>
      </c>
      <c r="AD59" s="272" t="s">
        <v>214</v>
      </c>
      <c r="AE59" s="273" t="s">
        <v>214</v>
      </c>
      <c r="AF59" s="273" t="s">
        <v>214</v>
      </c>
      <c r="AG59" s="274" t="s">
        <v>214</v>
      </c>
      <c r="AH59" s="273" t="s">
        <v>214</v>
      </c>
      <c r="AI59" s="273" t="s">
        <v>214</v>
      </c>
      <c r="AJ59" s="273" t="s">
        <v>214</v>
      </c>
      <c r="AK59" s="274" t="s">
        <v>214</v>
      </c>
      <c r="AL59" s="273" t="s">
        <v>214</v>
      </c>
      <c r="AM59" s="273" t="s">
        <v>214</v>
      </c>
      <c r="AN59" s="273" t="s">
        <v>214</v>
      </c>
      <c r="AO59" s="274" t="s">
        <v>214</v>
      </c>
      <c r="AP59" s="273" t="s">
        <v>214</v>
      </c>
      <c r="AQ59" s="273" t="s">
        <v>214</v>
      </c>
    </row>
    <row r="60" spans="1:43" ht="12.75">
      <c r="A60" s="208" t="s">
        <v>332</v>
      </c>
      <c r="B60" s="172">
        <f>SUM(B15,B45,B46)</f>
        <v>2821.6000000000004</v>
      </c>
      <c r="C60" s="173">
        <f aca="true" t="shared" si="29" ref="C60:V60">SUM(C15,C45,C46)</f>
        <v>2996.3999999999996</v>
      </c>
      <c r="D60" s="173">
        <f t="shared" si="29"/>
        <v>2969.8999999999996</v>
      </c>
      <c r="E60" s="174">
        <f t="shared" si="29"/>
        <v>2890.9999999999995</v>
      </c>
      <c r="F60" s="172">
        <f t="shared" si="29"/>
        <v>3224.599999999999</v>
      </c>
      <c r="G60" s="173">
        <f t="shared" si="29"/>
        <v>3189.6999999999994</v>
      </c>
      <c r="H60" s="173">
        <f t="shared" si="29"/>
        <v>3708.5</v>
      </c>
      <c r="I60" s="174">
        <f t="shared" si="29"/>
        <v>3731.8999999999996</v>
      </c>
      <c r="J60" s="173">
        <f t="shared" si="29"/>
        <v>3752.1</v>
      </c>
      <c r="K60" s="173">
        <f t="shared" si="29"/>
        <v>3821.8999999999996</v>
      </c>
      <c r="L60" s="173">
        <f t="shared" si="29"/>
        <v>4111.300000000001</v>
      </c>
      <c r="M60" s="173">
        <f t="shared" si="29"/>
        <v>4120.900000000001</v>
      </c>
      <c r="N60" s="172">
        <f t="shared" si="29"/>
        <v>4462.200000000001</v>
      </c>
      <c r="O60" s="173">
        <f t="shared" si="29"/>
        <v>4452.600000000001</v>
      </c>
      <c r="P60" s="173">
        <f t="shared" si="29"/>
        <v>4845.799999999999</v>
      </c>
      <c r="Q60" s="174">
        <f t="shared" si="29"/>
        <v>4817.4</v>
      </c>
      <c r="R60" s="170">
        <f t="shared" si="29"/>
        <v>4954.299999999999</v>
      </c>
      <c r="S60" s="170">
        <f t="shared" si="29"/>
        <v>5005.5</v>
      </c>
      <c r="T60" s="170">
        <f t="shared" si="29"/>
        <v>5440.699999999999</v>
      </c>
      <c r="U60" s="170">
        <f t="shared" si="29"/>
        <v>5435.2</v>
      </c>
      <c r="V60" s="169">
        <f t="shared" si="29"/>
        <v>5879.500000000001</v>
      </c>
      <c r="W60" s="170">
        <f>SUM(W15,W45,W46)</f>
        <v>6149.5</v>
      </c>
      <c r="X60" s="170">
        <f>SUM(X15,X45,X46)</f>
        <v>6319.199999999999</v>
      </c>
      <c r="Y60" s="171">
        <f>SUM(Y15,Y45,Y46)</f>
        <v>6318.3</v>
      </c>
      <c r="Z60" s="170">
        <f>SUM(Z15,Z45,Z46)</f>
        <v>6719.4</v>
      </c>
      <c r="AA60" s="170" t="s">
        <v>214</v>
      </c>
      <c r="AB60" s="170" t="s">
        <v>214</v>
      </c>
      <c r="AC60" s="171" t="s">
        <v>214</v>
      </c>
      <c r="AD60" s="169" t="s">
        <v>214</v>
      </c>
      <c r="AE60" s="170" t="s">
        <v>214</v>
      </c>
      <c r="AF60" s="170" t="s">
        <v>214</v>
      </c>
      <c r="AG60" s="171" t="s">
        <v>214</v>
      </c>
      <c r="AH60" s="170" t="s">
        <v>214</v>
      </c>
      <c r="AI60" s="170" t="s">
        <v>214</v>
      </c>
      <c r="AJ60" s="170" t="s">
        <v>214</v>
      </c>
      <c r="AK60" s="171" t="s">
        <v>214</v>
      </c>
      <c r="AL60" s="170" t="s">
        <v>214</v>
      </c>
      <c r="AM60" s="170" t="s">
        <v>214</v>
      </c>
      <c r="AN60" s="170" t="s">
        <v>214</v>
      </c>
      <c r="AO60" s="171" t="s">
        <v>214</v>
      </c>
      <c r="AP60" s="170" t="s">
        <v>214</v>
      </c>
      <c r="AQ60" s="170" t="s">
        <v>214</v>
      </c>
    </row>
    <row r="61" spans="1:43" ht="12.75">
      <c r="A61" s="168" t="s">
        <v>331</v>
      </c>
      <c r="B61" s="172">
        <f>SUM(B28,B50)</f>
        <v>24.1</v>
      </c>
      <c r="C61" s="173">
        <f aca="true" t="shared" si="30" ref="C61:X61">SUM(C28,C50)</f>
        <v>0</v>
      </c>
      <c r="D61" s="173">
        <f t="shared" si="30"/>
        <v>0</v>
      </c>
      <c r="E61" s="174">
        <f t="shared" si="30"/>
        <v>0</v>
      </c>
      <c r="F61" s="172">
        <f t="shared" si="30"/>
        <v>0</v>
      </c>
      <c r="G61" s="173">
        <f t="shared" si="30"/>
        <v>0</v>
      </c>
      <c r="H61" s="173">
        <f t="shared" si="30"/>
        <v>0</v>
      </c>
      <c r="I61" s="174">
        <f t="shared" si="30"/>
        <v>0</v>
      </c>
      <c r="J61" s="173">
        <f t="shared" si="30"/>
        <v>0</v>
      </c>
      <c r="K61" s="173">
        <f t="shared" si="30"/>
        <v>0</v>
      </c>
      <c r="L61" s="173">
        <f t="shared" si="30"/>
        <v>0</v>
      </c>
      <c r="M61" s="173">
        <f t="shared" si="30"/>
        <v>0</v>
      </c>
      <c r="N61" s="172">
        <f t="shared" si="30"/>
        <v>0</v>
      </c>
      <c r="O61" s="173">
        <f t="shared" si="30"/>
        <v>0</v>
      </c>
      <c r="P61" s="173">
        <f t="shared" si="30"/>
        <v>11.7</v>
      </c>
      <c r="Q61" s="174">
        <f t="shared" si="30"/>
        <v>0</v>
      </c>
      <c r="R61" s="170">
        <f t="shared" si="30"/>
        <v>0</v>
      </c>
      <c r="S61" s="170">
        <f t="shared" si="30"/>
        <v>24.6</v>
      </c>
      <c r="T61" s="170">
        <f t="shared" si="30"/>
        <v>0</v>
      </c>
      <c r="U61" s="170">
        <f t="shared" si="30"/>
        <v>13.299999999999997</v>
      </c>
      <c r="V61" s="169">
        <f t="shared" si="30"/>
        <v>80</v>
      </c>
      <c r="W61" s="170">
        <f t="shared" si="30"/>
        <v>107.3</v>
      </c>
      <c r="X61" s="170">
        <f t="shared" si="30"/>
        <v>269</v>
      </c>
      <c r="Y61" s="171">
        <f>SUM(Y28,Y50)</f>
        <v>565.4</v>
      </c>
      <c r="Z61" s="170">
        <f>SUM(Z28,Z50)</f>
        <v>398.8</v>
      </c>
      <c r="AA61" s="170" t="s">
        <v>214</v>
      </c>
      <c r="AB61" s="170" t="s">
        <v>214</v>
      </c>
      <c r="AC61" s="171" t="s">
        <v>214</v>
      </c>
      <c r="AD61" s="169" t="s">
        <v>214</v>
      </c>
      <c r="AE61" s="170" t="s">
        <v>214</v>
      </c>
      <c r="AF61" s="170" t="s">
        <v>214</v>
      </c>
      <c r="AG61" s="171" t="s">
        <v>214</v>
      </c>
      <c r="AH61" s="170" t="s">
        <v>214</v>
      </c>
      <c r="AI61" s="170" t="s">
        <v>214</v>
      </c>
      <c r="AJ61" s="170" t="s">
        <v>214</v>
      </c>
      <c r="AK61" s="171" t="s">
        <v>214</v>
      </c>
      <c r="AL61" s="170" t="s">
        <v>214</v>
      </c>
      <c r="AM61" s="170" t="s">
        <v>214</v>
      </c>
      <c r="AN61" s="170" t="s">
        <v>214</v>
      </c>
      <c r="AO61" s="171" t="s">
        <v>214</v>
      </c>
      <c r="AP61" s="170" t="s">
        <v>214</v>
      </c>
      <c r="AQ61" s="170" t="s">
        <v>214</v>
      </c>
    </row>
    <row r="62" spans="1:43" ht="12.75">
      <c r="A62" s="168" t="s">
        <v>330</v>
      </c>
      <c r="B62" s="172">
        <f>SUM(B52)</f>
        <v>38.1</v>
      </c>
      <c r="C62" s="173">
        <f aca="true" t="shared" si="31" ref="C62:X62">SUM(C52)</f>
        <v>9</v>
      </c>
      <c r="D62" s="173">
        <f t="shared" si="31"/>
        <v>141.2</v>
      </c>
      <c r="E62" s="174">
        <f t="shared" si="31"/>
        <v>91.8</v>
      </c>
      <c r="F62" s="172">
        <f t="shared" si="31"/>
        <v>30.7</v>
      </c>
      <c r="G62" s="173">
        <f t="shared" si="31"/>
        <v>58.4</v>
      </c>
      <c r="H62" s="173">
        <f t="shared" si="31"/>
        <v>89.9</v>
      </c>
      <c r="I62" s="174">
        <f t="shared" si="31"/>
        <v>79.7</v>
      </c>
      <c r="J62" s="173">
        <f t="shared" si="31"/>
        <v>0</v>
      </c>
      <c r="K62" s="173">
        <f t="shared" si="31"/>
        <v>63.5</v>
      </c>
      <c r="L62" s="173">
        <f t="shared" si="31"/>
        <v>54.8</v>
      </c>
      <c r="M62" s="173">
        <f t="shared" si="31"/>
        <v>65.5</v>
      </c>
      <c r="N62" s="172">
        <f t="shared" si="31"/>
        <v>55.4</v>
      </c>
      <c r="O62" s="173">
        <f t="shared" si="31"/>
        <v>38.9</v>
      </c>
      <c r="P62" s="173">
        <f t="shared" si="31"/>
        <v>32.2</v>
      </c>
      <c r="Q62" s="174">
        <f t="shared" si="31"/>
        <v>26.5</v>
      </c>
      <c r="R62" s="170">
        <f t="shared" si="31"/>
        <v>62.1</v>
      </c>
      <c r="S62" s="170">
        <f t="shared" si="31"/>
        <v>59.8</v>
      </c>
      <c r="T62" s="170">
        <f t="shared" si="31"/>
        <v>40.4</v>
      </c>
      <c r="U62" s="170">
        <f t="shared" si="31"/>
        <v>32.7</v>
      </c>
      <c r="V62" s="169">
        <f t="shared" si="31"/>
        <v>41.6</v>
      </c>
      <c r="W62" s="170">
        <f t="shared" si="31"/>
        <v>42.1</v>
      </c>
      <c r="X62" s="170">
        <f t="shared" si="31"/>
        <v>40.4</v>
      </c>
      <c r="Y62" s="171">
        <f>SUM(Y52)</f>
        <v>44.4</v>
      </c>
      <c r="Z62" s="170">
        <f>SUM(Z52)</f>
        <v>37.6</v>
      </c>
      <c r="AA62" s="170" t="s">
        <v>214</v>
      </c>
      <c r="AB62" s="170" t="s">
        <v>214</v>
      </c>
      <c r="AC62" s="171" t="s">
        <v>214</v>
      </c>
      <c r="AD62" s="169" t="s">
        <v>214</v>
      </c>
      <c r="AE62" s="170" t="s">
        <v>214</v>
      </c>
      <c r="AF62" s="170" t="s">
        <v>214</v>
      </c>
      <c r="AG62" s="171" t="s">
        <v>214</v>
      </c>
      <c r="AH62" s="170" t="s">
        <v>214</v>
      </c>
      <c r="AI62" s="170" t="s">
        <v>214</v>
      </c>
      <c r="AJ62" s="170" t="s">
        <v>214</v>
      </c>
      <c r="AK62" s="171" t="s">
        <v>214</v>
      </c>
      <c r="AL62" s="170" t="s">
        <v>214</v>
      </c>
      <c r="AM62" s="170" t="s">
        <v>214</v>
      </c>
      <c r="AN62" s="170" t="s">
        <v>214</v>
      </c>
      <c r="AO62" s="171" t="s">
        <v>214</v>
      </c>
      <c r="AP62" s="170" t="s">
        <v>214</v>
      </c>
      <c r="AQ62" s="170" t="s">
        <v>214</v>
      </c>
    </row>
    <row r="63" spans="1:43" s="189" customFormat="1" ht="12.75">
      <c r="A63" s="226"/>
      <c r="B63" s="224"/>
      <c r="C63" s="227"/>
      <c r="D63" s="227"/>
      <c r="E63" s="225"/>
      <c r="F63" s="224"/>
      <c r="G63" s="227"/>
      <c r="H63" s="227"/>
      <c r="I63" s="225"/>
      <c r="J63" s="227"/>
      <c r="K63" s="227"/>
      <c r="L63" s="227"/>
      <c r="M63" s="227"/>
      <c r="N63" s="224"/>
      <c r="O63" s="227"/>
      <c r="P63" s="227"/>
      <c r="Q63" s="225"/>
      <c r="R63" s="227"/>
      <c r="S63" s="227"/>
      <c r="T63" s="227"/>
      <c r="U63" s="227"/>
      <c r="V63" s="224"/>
      <c r="W63" s="227"/>
      <c r="X63" s="227"/>
      <c r="Y63" s="225"/>
      <c r="Z63" s="227"/>
      <c r="AA63" s="227"/>
      <c r="AB63" s="227"/>
      <c r="AC63" s="225"/>
      <c r="AD63" s="224"/>
      <c r="AE63" s="227"/>
      <c r="AF63" s="227"/>
      <c r="AG63" s="225"/>
      <c r="AH63" s="227"/>
      <c r="AI63" s="227"/>
      <c r="AJ63" s="227"/>
      <c r="AK63" s="225"/>
      <c r="AL63" s="227"/>
      <c r="AM63" s="227"/>
      <c r="AN63" s="227"/>
      <c r="AO63" s="225"/>
      <c r="AP63" s="227"/>
      <c r="AQ63" s="227"/>
    </row>
    <row r="64" spans="1:43" s="220" customFormat="1" ht="21" customHeight="1">
      <c r="A64" s="216" t="s">
        <v>238</v>
      </c>
      <c r="B64" s="221"/>
      <c r="C64" s="222"/>
      <c r="D64" s="222"/>
      <c r="E64" s="223"/>
      <c r="F64" s="221"/>
      <c r="G64" s="222"/>
      <c r="H64" s="222"/>
      <c r="I64" s="223"/>
      <c r="J64" s="222"/>
      <c r="K64" s="222"/>
      <c r="L64" s="222"/>
      <c r="M64" s="222"/>
      <c r="N64" s="221"/>
      <c r="O64" s="222"/>
      <c r="P64" s="222"/>
      <c r="Q64" s="223"/>
      <c r="R64" s="287"/>
      <c r="S64" s="287"/>
      <c r="T64" s="287"/>
      <c r="U64" s="287"/>
      <c r="V64" s="303"/>
      <c r="W64" s="287"/>
      <c r="X64" s="287"/>
      <c r="Y64" s="288"/>
      <c r="Z64" s="287"/>
      <c r="AA64" s="287"/>
      <c r="AB64" s="287"/>
      <c r="AC64" s="288"/>
      <c r="AD64" s="303"/>
      <c r="AE64" s="287"/>
      <c r="AF64" s="287"/>
      <c r="AG64" s="288"/>
      <c r="AH64" s="287"/>
      <c r="AI64" s="287"/>
      <c r="AJ64" s="287"/>
      <c r="AK64" s="288"/>
      <c r="AL64" s="287"/>
      <c r="AM64" s="287"/>
      <c r="AN64" s="287"/>
      <c r="AO64" s="288"/>
      <c r="AP64" s="287"/>
      <c r="AQ64" s="287"/>
    </row>
    <row r="65" spans="1:43" ht="22.5">
      <c r="A65" s="178" t="s">
        <v>239</v>
      </c>
      <c r="B65" s="179" t="s">
        <v>214</v>
      </c>
      <c r="C65" s="180" t="s">
        <v>214</v>
      </c>
      <c r="D65" s="180" t="s">
        <v>214</v>
      </c>
      <c r="E65" s="181" t="s">
        <v>214</v>
      </c>
      <c r="F65" s="175">
        <v>2057.4</v>
      </c>
      <c r="G65" s="176">
        <v>1983.4</v>
      </c>
      <c r="H65" s="176">
        <v>2188.3</v>
      </c>
      <c r="I65" s="177">
        <v>2580.3</v>
      </c>
      <c r="J65" s="176">
        <v>2619.3</v>
      </c>
      <c r="K65" s="176">
        <v>2503.4</v>
      </c>
      <c r="L65" s="176">
        <v>2416</v>
      </c>
      <c r="M65" s="176">
        <v>2432</v>
      </c>
      <c r="N65" s="175">
        <v>2398.1</v>
      </c>
      <c r="O65" s="176">
        <v>2496</v>
      </c>
      <c r="P65" s="176">
        <v>2581.6</v>
      </c>
      <c r="Q65" s="177">
        <v>2581.6</v>
      </c>
      <c r="R65" s="180">
        <v>2725.1</v>
      </c>
      <c r="S65" s="180">
        <v>2806.1</v>
      </c>
      <c r="T65" s="180">
        <v>3056.2</v>
      </c>
      <c r="U65" s="180">
        <v>3176.6</v>
      </c>
      <c r="V65" s="179">
        <v>3414.8</v>
      </c>
      <c r="W65" s="180">
        <v>3345.7000000000003</v>
      </c>
      <c r="X65" s="180">
        <v>3349.6</v>
      </c>
      <c r="Y65" s="181">
        <v>3285.7999999999997</v>
      </c>
      <c r="Z65" s="180">
        <v>3229.5</v>
      </c>
      <c r="AA65" s="180">
        <v>2974.8</v>
      </c>
      <c r="AB65" s="180">
        <v>2844.5</v>
      </c>
      <c r="AC65" s="181">
        <v>2900.1</v>
      </c>
      <c r="AD65" s="179">
        <v>3077.3</v>
      </c>
      <c r="AE65" s="180">
        <v>3186.1</v>
      </c>
      <c r="AF65" s="180">
        <v>3349.7</v>
      </c>
      <c r="AG65" s="181">
        <v>3291.1</v>
      </c>
      <c r="AH65" s="180">
        <v>3588.3</v>
      </c>
      <c r="AI65" s="180">
        <v>3927.1</v>
      </c>
      <c r="AJ65" s="180">
        <v>4039.2</v>
      </c>
      <c r="AK65" s="181">
        <v>3935.1</v>
      </c>
      <c r="AL65" s="180">
        <v>4108.4</v>
      </c>
      <c r="AM65" s="180">
        <v>4194.4</v>
      </c>
      <c r="AN65" s="180">
        <v>4249.2</v>
      </c>
      <c r="AO65" s="181">
        <v>4121.5</v>
      </c>
      <c r="AP65" s="180">
        <v>4261.1</v>
      </c>
      <c r="AQ65" s="180">
        <v>4561</v>
      </c>
    </row>
    <row r="66" spans="1:43" s="145" customFormat="1" ht="22.5">
      <c r="A66" s="56" t="s">
        <v>247</v>
      </c>
      <c r="B66" s="119" t="s">
        <v>214</v>
      </c>
      <c r="C66" s="120" t="s">
        <v>214</v>
      </c>
      <c r="D66" s="120" t="s">
        <v>214</v>
      </c>
      <c r="E66" s="120" t="s">
        <v>214</v>
      </c>
      <c r="F66" s="119" t="s">
        <v>214</v>
      </c>
      <c r="G66" s="120" t="s">
        <v>214</v>
      </c>
      <c r="H66" s="120" t="s">
        <v>214</v>
      </c>
      <c r="I66" s="120" t="s">
        <v>214</v>
      </c>
      <c r="J66" s="119" t="s">
        <v>214</v>
      </c>
      <c r="K66" s="120" t="s">
        <v>214</v>
      </c>
      <c r="L66" s="120" t="s">
        <v>214</v>
      </c>
      <c r="M66" s="120" t="s">
        <v>214</v>
      </c>
      <c r="N66" s="119" t="s">
        <v>214</v>
      </c>
      <c r="O66" s="120" t="s">
        <v>214</v>
      </c>
      <c r="P66" s="120" t="s">
        <v>214</v>
      </c>
      <c r="Q66" s="120" t="s">
        <v>214</v>
      </c>
      <c r="R66" s="119" t="s">
        <v>214</v>
      </c>
      <c r="S66" s="120" t="s">
        <v>214</v>
      </c>
      <c r="T66" s="120" t="s">
        <v>214</v>
      </c>
      <c r="U66" s="258">
        <v>329</v>
      </c>
      <c r="V66" s="257">
        <v>285.2</v>
      </c>
      <c r="W66" s="237">
        <v>140.8</v>
      </c>
      <c r="X66" s="237">
        <v>372.4</v>
      </c>
      <c r="Y66" s="258">
        <v>444.1</v>
      </c>
      <c r="Z66" s="237">
        <v>475</v>
      </c>
      <c r="AA66" s="237" t="s">
        <v>214</v>
      </c>
      <c r="AB66" s="237" t="s">
        <v>214</v>
      </c>
      <c r="AC66" s="258" t="s">
        <v>214</v>
      </c>
      <c r="AD66" s="257" t="s">
        <v>214</v>
      </c>
      <c r="AE66" s="237" t="s">
        <v>214</v>
      </c>
      <c r="AF66" s="237" t="s">
        <v>214</v>
      </c>
      <c r="AG66" s="258" t="s">
        <v>214</v>
      </c>
      <c r="AH66" s="237" t="s">
        <v>214</v>
      </c>
      <c r="AI66" s="237" t="s">
        <v>214</v>
      </c>
      <c r="AJ66" s="237" t="s">
        <v>214</v>
      </c>
      <c r="AK66" s="258" t="s">
        <v>214</v>
      </c>
      <c r="AL66" s="237" t="s">
        <v>214</v>
      </c>
      <c r="AM66" s="237" t="s">
        <v>214</v>
      </c>
      <c r="AN66" s="237" t="s">
        <v>214</v>
      </c>
      <c r="AO66" s="258" t="s">
        <v>214</v>
      </c>
      <c r="AP66" s="237" t="s">
        <v>214</v>
      </c>
      <c r="AQ66" s="237" t="s">
        <v>214</v>
      </c>
    </row>
    <row r="67" spans="1:43" ht="12.75">
      <c r="A67" s="178" t="s">
        <v>240</v>
      </c>
      <c r="B67" s="179" t="s">
        <v>214</v>
      </c>
      <c r="C67" s="180" t="s">
        <v>214</v>
      </c>
      <c r="D67" s="180" t="s">
        <v>214</v>
      </c>
      <c r="E67" s="181" t="s">
        <v>214</v>
      </c>
      <c r="F67" s="175">
        <v>0</v>
      </c>
      <c r="G67" s="176">
        <v>0</v>
      </c>
      <c r="H67" s="176">
        <v>0.1</v>
      </c>
      <c r="I67" s="177">
        <v>1.3</v>
      </c>
      <c r="J67" s="176">
        <v>1.7</v>
      </c>
      <c r="K67" s="176">
        <v>2.2</v>
      </c>
      <c r="L67" s="176">
        <v>2.2</v>
      </c>
      <c r="M67" s="176">
        <v>2.2</v>
      </c>
      <c r="N67" s="175">
        <v>2.2</v>
      </c>
      <c r="O67" s="176">
        <v>4.1</v>
      </c>
      <c r="P67" s="176">
        <v>4.6</v>
      </c>
      <c r="Q67" s="177">
        <v>5.1</v>
      </c>
      <c r="R67" s="180">
        <v>5.6</v>
      </c>
      <c r="S67" s="180">
        <v>6.3</v>
      </c>
      <c r="T67" s="180">
        <v>7.1</v>
      </c>
      <c r="U67" s="180">
        <v>7.9</v>
      </c>
      <c r="V67" s="179">
        <v>8.7</v>
      </c>
      <c r="W67" s="180">
        <v>9.4</v>
      </c>
      <c r="X67" s="180">
        <v>12.2</v>
      </c>
      <c r="Y67" s="181">
        <v>13</v>
      </c>
      <c r="Z67" s="180">
        <v>13.6</v>
      </c>
      <c r="AA67" s="180">
        <v>14.2</v>
      </c>
      <c r="AB67" s="180">
        <v>10.3</v>
      </c>
      <c r="AC67" s="181">
        <v>10.3</v>
      </c>
      <c r="AD67" s="179">
        <v>10.3</v>
      </c>
      <c r="AE67" s="180">
        <v>10.3</v>
      </c>
      <c r="AF67" s="180">
        <v>10.3</v>
      </c>
      <c r="AG67" s="181">
        <v>10.3</v>
      </c>
      <c r="AH67" s="180">
        <v>0</v>
      </c>
      <c r="AI67" s="180">
        <v>0</v>
      </c>
      <c r="AJ67" s="180">
        <v>0</v>
      </c>
      <c r="AK67" s="181">
        <v>0</v>
      </c>
      <c r="AL67" s="180">
        <v>0</v>
      </c>
      <c r="AM67" s="180">
        <v>0</v>
      </c>
      <c r="AN67" s="180">
        <v>0</v>
      </c>
      <c r="AO67" s="181">
        <v>0</v>
      </c>
      <c r="AP67" s="180">
        <v>0</v>
      </c>
      <c r="AQ67" s="180">
        <v>0</v>
      </c>
    </row>
    <row r="68" spans="1:43" ht="22.5">
      <c r="A68" s="178" t="s">
        <v>241</v>
      </c>
      <c r="B68" s="179" t="s">
        <v>214</v>
      </c>
      <c r="C68" s="180" t="s">
        <v>214</v>
      </c>
      <c r="D68" s="180" t="s">
        <v>214</v>
      </c>
      <c r="E68" s="181" t="s">
        <v>214</v>
      </c>
      <c r="F68" s="175">
        <v>13.5</v>
      </c>
      <c r="G68" s="176">
        <v>22.8</v>
      </c>
      <c r="H68" s="176">
        <v>31.6</v>
      </c>
      <c r="I68" s="177">
        <v>27.7</v>
      </c>
      <c r="J68" s="176">
        <v>26.1</v>
      </c>
      <c r="K68" s="176">
        <v>19.3</v>
      </c>
      <c r="L68" s="176">
        <v>13.7</v>
      </c>
      <c r="M68" s="176">
        <v>15.3</v>
      </c>
      <c r="N68" s="175">
        <v>8.7</v>
      </c>
      <c r="O68" s="176">
        <v>8.7</v>
      </c>
      <c r="P68" s="176">
        <v>0.4</v>
      </c>
      <c r="Q68" s="177">
        <v>1.8</v>
      </c>
      <c r="R68" s="180">
        <v>18</v>
      </c>
      <c r="S68" s="180">
        <v>22.2</v>
      </c>
      <c r="T68" s="180">
        <v>0.2</v>
      </c>
      <c r="U68" s="180">
        <v>0</v>
      </c>
      <c r="V68" s="179">
        <v>0</v>
      </c>
      <c r="W68" s="180">
        <v>11</v>
      </c>
      <c r="X68" s="180">
        <v>0</v>
      </c>
      <c r="Y68" s="181">
        <v>0</v>
      </c>
      <c r="Z68" s="180">
        <v>0</v>
      </c>
      <c r="AA68" s="180">
        <v>0</v>
      </c>
      <c r="AB68" s="180">
        <v>0</v>
      </c>
      <c r="AC68" s="181">
        <v>0</v>
      </c>
      <c r="AD68" s="179">
        <v>0</v>
      </c>
      <c r="AE68" s="180">
        <v>0</v>
      </c>
      <c r="AF68" s="180">
        <v>0</v>
      </c>
      <c r="AG68" s="181">
        <v>0</v>
      </c>
      <c r="AH68" s="180">
        <v>0</v>
      </c>
      <c r="AI68" s="180">
        <v>0</v>
      </c>
      <c r="AJ68" s="180">
        <v>0</v>
      </c>
      <c r="AK68" s="181">
        <v>30</v>
      </c>
      <c r="AL68" s="180">
        <v>0</v>
      </c>
      <c r="AM68" s="180">
        <v>0</v>
      </c>
      <c r="AN68" s="180">
        <v>0</v>
      </c>
      <c r="AO68" s="181">
        <v>0</v>
      </c>
      <c r="AP68" s="180">
        <v>0</v>
      </c>
      <c r="AQ68" s="180">
        <v>0</v>
      </c>
    </row>
    <row r="69" spans="1:43" ht="12.75">
      <c r="A69" s="178" t="s">
        <v>242</v>
      </c>
      <c r="B69" s="179" t="s">
        <v>214</v>
      </c>
      <c r="C69" s="180" t="s">
        <v>214</v>
      </c>
      <c r="D69" s="180" t="s">
        <v>214</v>
      </c>
      <c r="E69" s="181" t="s">
        <v>214</v>
      </c>
      <c r="F69" s="175">
        <v>274.2</v>
      </c>
      <c r="G69" s="176">
        <v>274.2</v>
      </c>
      <c r="H69" s="176">
        <v>274.2</v>
      </c>
      <c r="I69" s="177">
        <v>274.2</v>
      </c>
      <c r="J69" s="176">
        <v>290.8</v>
      </c>
      <c r="K69" s="176">
        <v>290.8</v>
      </c>
      <c r="L69" s="176">
        <v>290.8</v>
      </c>
      <c r="M69" s="176">
        <v>290.8</v>
      </c>
      <c r="N69" s="175">
        <v>326.9</v>
      </c>
      <c r="O69" s="176">
        <v>326.9</v>
      </c>
      <c r="P69" s="176">
        <v>326.9</v>
      </c>
      <c r="Q69" s="177">
        <v>326.9</v>
      </c>
      <c r="R69" s="180">
        <v>361.7</v>
      </c>
      <c r="S69" s="180">
        <v>361.7</v>
      </c>
      <c r="T69" s="180">
        <v>361.7</v>
      </c>
      <c r="U69" s="180">
        <v>364.6</v>
      </c>
      <c r="V69" s="179">
        <v>405.9</v>
      </c>
      <c r="W69" s="180">
        <v>405.9</v>
      </c>
      <c r="X69" s="180">
        <v>405.9</v>
      </c>
      <c r="Y69" s="181">
        <v>405.9</v>
      </c>
      <c r="Z69" s="180">
        <v>437.6</v>
      </c>
      <c r="AA69" s="180">
        <v>437.6</v>
      </c>
      <c r="AB69" s="180">
        <v>437.6</v>
      </c>
      <c r="AC69" s="181">
        <v>437.6</v>
      </c>
      <c r="AD69" s="179">
        <v>459.3</v>
      </c>
      <c r="AE69" s="180">
        <v>459.3</v>
      </c>
      <c r="AF69" s="180">
        <v>459.3</v>
      </c>
      <c r="AG69" s="181">
        <v>459.3</v>
      </c>
      <c r="AH69" s="180">
        <v>495.8</v>
      </c>
      <c r="AI69" s="180">
        <v>495.8</v>
      </c>
      <c r="AJ69" s="180">
        <v>495.8</v>
      </c>
      <c r="AK69" s="181">
        <v>495.8</v>
      </c>
      <c r="AL69" s="180">
        <v>521.5</v>
      </c>
      <c r="AM69" s="180">
        <v>521.5</v>
      </c>
      <c r="AN69" s="180">
        <v>521.5</v>
      </c>
      <c r="AO69" s="181">
        <v>521.5</v>
      </c>
      <c r="AP69" s="180">
        <v>567.1</v>
      </c>
      <c r="AQ69" s="180">
        <v>567.1</v>
      </c>
    </row>
    <row r="70" spans="1:43" ht="12.75">
      <c r="A70" s="178" t="s">
        <v>243</v>
      </c>
      <c r="B70" s="179" t="s">
        <v>214</v>
      </c>
      <c r="C70" s="180" t="s">
        <v>214</v>
      </c>
      <c r="D70" s="180" t="s">
        <v>214</v>
      </c>
      <c r="E70" s="181" t="s">
        <v>214</v>
      </c>
      <c r="F70" s="175">
        <v>17.2</v>
      </c>
      <c r="G70" s="176">
        <v>35.6</v>
      </c>
      <c r="H70" s="176">
        <v>58.3</v>
      </c>
      <c r="I70" s="177">
        <v>52</v>
      </c>
      <c r="J70" s="176">
        <v>33.9</v>
      </c>
      <c r="K70" s="176">
        <v>44.3</v>
      </c>
      <c r="L70" s="176">
        <v>39</v>
      </c>
      <c r="M70" s="176">
        <v>48</v>
      </c>
      <c r="N70" s="175">
        <v>44.5</v>
      </c>
      <c r="O70" s="176">
        <v>26.1</v>
      </c>
      <c r="P70" s="176">
        <v>27.2</v>
      </c>
      <c r="Q70" s="177">
        <v>19.7</v>
      </c>
      <c r="R70" s="180">
        <v>38.4</v>
      </c>
      <c r="S70" s="180">
        <v>31.3</v>
      </c>
      <c r="T70" s="180">
        <v>33.2</v>
      </c>
      <c r="U70" s="180">
        <v>24.8</v>
      </c>
      <c r="V70" s="179">
        <v>32.9</v>
      </c>
      <c r="W70" s="180">
        <v>21.7</v>
      </c>
      <c r="X70" s="180">
        <v>28.2</v>
      </c>
      <c r="Y70" s="181">
        <v>31.4</v>
      </c>
      <c r="Z70" s="180">
        <v>24</v>
      </c>
      <c r="AA70" s="180">
        <v>36.6</v>
      </c>
      <c r="AB70" s="180">
        <v>28.9</v>
      </c>
      <c r="AC70" s="181">
        <v>24.5</v>
      </c>
      <c r="AD70" s="179">
        <v>57.8</v>
      </c>
      <c r="AE70" s="180">
        <v>49.3</v>
      </c>
      <c r="AF70" s="180">
        <v>56.7</v>
      </c>
      <c r="AG70" s="181">
        <v>33.8</v>
      </c>
      <c r="AH70" s="180">
        <v>46.1</v>
      </c>
      <c r="AI70" s="180">
        <v>37.9</v>
      </c>
      <c r="AJ70" s="180">
        <v>57.2</v>
      </c>
      <c r="AK70" s="181">
        <v>74.3</v>
      </c>
      <c r="AL70" s="180">
        <v>64.1</v>
      </c>
      <c r="AM70" s="180">
        <v>76.3</v>
      </c>
      <c r="AN70" s="180">
        <v>87.7</v>
      </c>
      <c r="AO70" s="181">
        <v>77.1</v>
      </c>
      <c r="AP70" s="180">
        <v>82</v>
      </c>
      <c r="AQ70" s="180">
        <v>73.6</v>
      </c>
    </row>
    <row r="71" spans="1:43" ht="12.75">
      <c r="A71" s="178" t="s">
        <v>244</v>
      </c>
      <c r="B71" s="179" t="s">
        <v>214</v>
      </c>
      <c r="C71" s="180" t="s">
        <v>214</v>
      </c>
      <c r="D71" s="180" t="s">
        <v>214</v>
      </c>
      <c r="E71" s="181" t="s">
        <v>214</v>
      </c>
      <c r="F71" s="175">
        <v>0</v>
      </c>
      <c r="G71" s="176">
        <v>0</v>
      </c>
      <c r="H71" s="176">
        <v>0</v>
      </c>
      <c r="I71" s="177">
        <v>0</v>
      </c>
      <c r="J71" s="176">
        <v>0</v>
      </c>
      <c r="K71" s="176">
        <v>0</v>
      </c>
      <c r="L71" s="176">
        <v>0</v>
      </c>
      <c r="M71" s="176">
        <v>0</v>
      </c>
      <c r="N71" s="175">
        <v>0</v>
      </c>
      <c r="O71" s="176">
        <v>0</v>
      </c>
      <c r="P71" s="176">
        <v>0</v>
      </c>
      <c r="Q71" s="177">
        <v>12</v>
      </c>
      <c r="R71" s="180">
        <v>1.2</v>
      </c>
      <c r="S71" s="180">
        <v>0.9</v>
      </c>
      <c r="T71" s="180">
        <v>33.4</v>
      </c>
      <c r="U71" s="180">
        <v>0</v>
      </c>
      <c r="V71" s="179">
        <v>0</v>
      </c>
      <c r="W71" s="180">
        <v>0</v>
      </c>
      <c r="X71" s="180">
        <v>0</v>
      </c>
      <c r="Y71" s="181">
        <v>0</v>
      </c>
      <c r="Z71" s="180">
        <v>0</v>
      </c>
      <c r="AA71" s="180">
        <v>0.7</v>
      </c>
      <c r="AB71" s="180">
        <v>0</v>
      </c>
      <c r="AC71" s="181">
        <v>0</v>
      </c>
      <c r="AD71" s="179">
        <v>0</v>
      </c>
      <c r="AE71" s="180">
        <v>0</v>
      </c>
      <c r="AF71" s="180">
        <v>0</v>
      </c>
      <c r="AG71" s="181">
        <v>0</v>
      </c>
      <c r="AH71" s="180">
        <v>0</v>
      </c>
      <c r="AI71" s="180">
        <v>0</v>
      </c>
      <c r="AJ71" s="180">
        <v>0</v>
      </c>
      <c r="AK71" s="181">
        <v>0</v>
      </c>
      <c r="AL71" s="180">
        <v>0</v>
      </c>
      <c r="AM71" s="180">
        <v>0</v>
      </c>
      <c r="AN71" s="180">
        <v>0</v>
      </c>
      <c r="AO71" s="181">
        <v>0</v>
      </c>
      <c r="AP71" s="180">
        <v>0</v>
      </c>
      <c r="AQ71" s="180">
        <v>0</v>
      </c>
    </row>
    <row r="72" spans="1:43" ht="12.75">
      <c r="A72" s="178" t="s">
        <v>312</v>
      </c>
      <c r="B72" s="179" t="s">
        <v>214</v>
      </c>
      <c r="C72" s="180" t="s">
        <v>214</v>
      </c>
      <c r="D72" s="180" t="s">
        <v>214</v>
      </c>
      <c r="E72" s="181" t="s">
        <v>214</v>
      </c>
      <c r="F72" s="175">
        <v>0</v>
      </c>
      <c r="G72" s="176">
        <v>0</v>
      </c>
      <c r="H72" s="176">
        <v>0</v>
      </c>
      <c r="I72" s="177">
        <v>0</v>
      </c>
      <c r="J72" s="176">
        <v>0</v>
      </c>
      <c r="K72" s="176">
        <v>0</v>
      </c>
      <c r="L72" s="176">
        <v>0</v>
      </c>
      <c r="M72" s="176">
        <v>0</v>
      </c>
      <c r="N72" s="175">
        <v>0</v>
      </c>
      <c r="O72" s="176">
        <v>0</v>
      </c>
      <c r="P72" s="176">
        <v>0</v>
      </c>
      <c r="Q72" s="177">
        <v>0</v>
      </c>
      <c r="R72" s="180">
        <v>0</v>
      </c>
      <c r="S72" s="180">
        <v>0</v>
      </c>
      <c r="T72" s="180">
        <v>0</v>
      </c>
      <c r="U72" s="180">
        <v>0</v>
      </c>
      <c r="V72" s="179">
        <v>0</v>
      </c>
      <c r="W72" s="180">
        <v>0</v>
      </c>
      <c r="X72" s="180">
        <v>0</v>
      </c>
      <c r="Y72" s="181">
        <v>0</v>
      </c>
      <c r="Z72" s="180">
        <v>0</v>
      </c>
      <c r="AA72" s="180">
        <v>0</v>
      </c>
      <c r="AB72" s="180">
        <v>26.7</v>
      </c>
      <c r="AC72" s="181">
        <v>0</v>
      </c>
      <c r="AD72" s="179">
        <v>0</v>
      </c>
      <c r="AE72" s="180">
        <v>0</v>
      </c>
      <c r="AF72" s="180">
        <v>61</v>
      </c>
      <c r="AG72" s="181">
        <v>147</v>
      </c>
      <c r="AH72" s="180">
        <v>0</v>
      </c>
      <c r="AI72" s="180">
        <v>0</v>
      </c>
      <c r="AJ72" s="180">
        <v>0</v>
      </c>
      <c r="AK72" s="181">
        <v>75.9</v>
      </c>
      <c r="AL72" s="180">
        <v>39.3</v>
      </c>
      <c r="AM72" s="180">
        <v>120.9</v>
      </c>
      <c r="AN72" s="180">
        <v>132.6</v>
      </c>
      <c r="AO72" s="181">
        <v>273.5</v>
      </c>
      <c r="AP72" s="180">
        <v>255.2</v>
      </c>
      <c r="AQ72" s="180">
        <v>129.1</v>
      </c>
    </row>
    <row r="73" spans="1:43" ht="13.5" thickBot="1">
      <c r="A73" s="178"/>
      <c r="B73" s="179"/>
      <c r="C73" s="180"/>
      <c r="D73" s="180"/>
      <c r="E73" s="181"/>
      <c r="F73" s="175"/>
      <c r="G73" s="176"/>
      <c r="H73" s="176"/>
      <c r="I73" s="177"/>
      <c r="J73" s="176"/>
      <c r="K73" s="176"/>
      <c r="L73" s="176"/>
      <c r="M73" s="176"/>
      <c r="N73" s="175"/>
      <c r="O73" s="176"/>
      <c r="P73" s="176"/>
      <c r="Q73" s="177"/>
      <c r="R73" s="180"/>
      <c r="S73" s="180"/>
      <c r="T73" s="180"/>
      <c r="U73" s="180"/>
      <c r="V73" s="179"/>
      <c r="W73" s="180"/>
      <c r="X73" s="180"/>
      <c r="Y73" s="181"/>
      <c r="Z73" s="180"/>
      <c r="AA73" s="180"/>
      <c r="AB73" s="180"/>
      <c r="AC73" s="181"/>
      <c r="AD73" s="179"/>
      <c r="AE73" s="180"/>
      <c r="AF73" s="180"/>
      <c r="AG73" s="181"/>
      <c r="AH73" s="180"/>
      <c r="AI73" s="180"/>
      <c r="AJ73" s="180"/>
      <c r="AK73" s="181"/>
      <c r="AL73" s="180"/>
      <c r="AM73" s="180"/>
      <c r="AN73" s="180"/>
      <c r="AO73" s="181"/>
      <c r="AP73" s="180"/>
      <c r="AQ73" s="180"/>
    </row>
    <row r="74" spans="1:43" ht="24.75" thickBot="1">
      <c r="A74" s="212" t="s">
        <v>248</v>
      </c>
      <c r="B74" s="213" t="s">
        <v>214</v>
      </c>
      <c r="C74" s="214" t="s">
        <v>214</v>
      </c>
      <c r="D74" s="214" t="s">
        <v>214</v>
      </c>
      <c r="E74" s="215" t="s">
        <v>214</v>
      </c>
      <c r="F74" s="213" t="s">
        <v>214</v>
      </c>
      <c r="G74" s="214" t="s">
        <v>214</v>
      </c>
      <c r="H74" s="214" t="s">
        <v>214</v>
      </c>
      <c r="I74" s="215" t="s">
        <v>214</v>
      </c>
      <c r="J74" s="214" t="s">
        <v>214</v>
      </c>
      <c r="K74" s="214" t="s">
        <v>214</v>
      </c>
      <c r="L74" s="214" t="s">
        <v>214</v>
      </c>
      <c r="M74" s="214" t="s">
        <v>214</v>
      </c>
      <c r="N74" s="213" t="s">
        <v>214</v>
      </c>
      <c r="O74" s="214" t="s">
        <v>214</v>
      </c>
      <c r="P74" s="214" t="s">
        <v>214</v>
      </c>
      <c r="Q74" s="215" t="s">
        <v>214</v>
      </c>
      <c r="R74" s="214" t="s">
        <v>214</v>
      </c>
      <c r="S74" s="214" t="s">
        <v>214</v>
      </c>
      <c r="T74" s="214" t="s">
        <v>214</v>
      </c>
      <c r="U74" s="214">
        <f aca="true" t="shared" si="32" ref="U74:Z74">SUM(U65,U67:U72)-U66</f>
        <v>3244.9</v>
      </c>
      <c r="V74" s="213">
        <f t="shared" si="32"/>
        <v>3577.1000000000004</v>
      </c>
      <c r="W74" s="214">
        <f t="shared" si="32"/>
        <v>3652.9</v>
      </c>
      <c r="X74" s="214">
        <f t="shared" si="32"/>
        <v>3423.4999999999995</v>
      </c>
      <c r="Y74" s="215">
        <f t="shared" si="32"/>
        <v>3292</v>
      </c>
      <c r="Z74" s="214">
        <f t="shared" si="32"/>
        <v>3229.7</v>
      </c>
      <c r="AA74" s="214">
        <f aca="true" t="shared" si="33" ref="AA74:AF74">SUM(AA65:AA72)</f>
        <v>3463.8999999999996</v>
      </c>
      <c r="AB74" s="214">
        <f t="shared" si="33"/>
        <v>3348</v>
      </c>
      <c r="AC74" s="215">
        <f t="shared" si="33"/>
        <v>3372.5</v>
      </c>
      <c r="AD74" s="213">
        <f t="shared" si="33"/>
        <v>3604.7000000000007</v>
      </c>
      <c r="AE74" s="214">
        <f t="shared" si="33"/>
        <v>3705.0000000000005</v>
      </c>
      <c r="AF74" s="214">
        <f t="shared" si="33"/>
        <v>3937</v>
      </c>
      <c r="AG74" s="215">
        <f aca="true" t="shared" si="34" ref="AG74:AL74">SUM(AG65:AG72)</f>
        <v>3941.5000000000005</v>
      </c>
      <c r="AH74" s="214">
        <f t="shared" si="34"/>
        <v>4130.200000000001</v>
      </c>
      <c r="AI74" s="214">
        <f t="shared" si="34"/>
        <v>4460.799999999999</v>
      </c>
      <c r="AJ74" s="214">
        <f t="shared" si="34"/>
        <v>4592.2</v>
      </c>
      <c r="AK74" s="215">
        <f t="shared" si="34"/>
        <v>4611.099999999999</v>
      </c>
      <c r="AL74" s="214">
        <f t="shared" si="34"/>
        <v>4733.3</v>
      </c>
      <c r="AM74" s="214">
        <f>SUM(AM65:AM72)</f>
        <v>4913.099999999999</v>
      </c>
      <c r="AN74" s="214">
        <f>SUM(AN65:AN72)</f>
        <v>4991</v>
      </c>
      <c r="AO74" s="215">
        <f>SUM(AO65:AO72)</f>
        <v>4993.6</v>
      </c>
      <c r="AP74" s="214">
        <f>SUM(AP65:AP72)</f>
        <v>5165.400000000001</v>
      </c>
      <c r="AQ74" s="214">
        <f>SUM(AQ65:AQ72)</f>
        <v>5330.800000000001</v>
      </c>
    </row>
    <row r="75" spans="1:43" ht="13.5" thickBot="1">
      <c r="A75" s="182"/>
      <c r="B75" s="175"/>
      <c r="C75" s="176"/>
      <c r="D75" s="176"/>
      <c r="E75" s="177"/>
      <c r="F75" s="175"/>
      <c r="G75" s="176"/>
      <c r="H75" s="176"/>
      <c r="I75" s="177"/>
      <c r="J75" s="176"/>
      <c r="K75" s="176"/>
      <c r="L75" s="176"/>
      <c r="M75" s="176"/>
      <c r="N75" s="175"/>
      <c r="O75" s="176"/>
      <c r="P75" s="176"/>
      <c r="Q75" s="177"/>
      <c r="R75" s="180"/>
      <c r="S75" s="180"/>
      <c r="T75" s="180"/>
      <c r="U75" s="180"/>
      <c r="V75" s="179"/>
      <c r="W75" s="180"/>
      <c r="X75" s="180"/>
      <c r="Y75" s="181"/>
      <c r="Z75" s="180"/>
      <c r="AA75" s="180"/>
      <c r="AB75" s="180"/>
      <c r="AC75" s="181"/>
      <c r="AD75" s="179"/>
      <c r="AE75" s="180"/>
      <c r="AF75" s="180"/>
      <c r="AG75" s="181"/>
      <c r="AH75" s="180"/>
      <c r="AI75" s="180"/>
      <c r="AJ75" s="180"/>
      <c r="AK75" s="181"/>
      <c r="AL75" s="180"/>
      <c r="AM75" s="180"/>
      <c r="AN75" s="180"/>
      <c r="AO75" s="181"/>
      <c r="AP75" s="180"/>
      <c r="AQ75" s="180"/>
    </row>
    <row r="76" spans="1:43" ht="24.75" thickBot="1">
      <c r="A76" s="212" t="s">
        <v>249</v>
      </c>
      <c r="B76" s="213">
        <v>1678.5</v>
      </c>
      <c r="C76" s="214">
        <v>1792.3</v>
      </c>
      <c r="D76" s="214">
        <v>1907</v>
      </c>
      <c r="E76" s="215">
        <v>1819.4</v>
      </c>
      <c r="F76" s="213">
        <f aca="true" t="shared" si="35" ref="F76:V76">SUM(F65,F67:F71)</f>
        <v>2362.2999999999997</v>
      </c>
      <c r="G76" s="214">
        <f t="shared" si="35"/>
        <v>2316</v>
      </c>
      <c r="H76" s="214">
        <f t="shared" si="35"/>
        <v>2552.5</v>
      </c>
      <c r="I76" s="215">
        <f t="shared" si="35"/>
        <v>2935.5</v>
      </c>
      <c r="J76" s="214">
        <f t="shared" si="35"/>
        <v>2971.8</v>
      </c>
      <c r="K76" s="214">
        <f t="shared" si="35"/>
        <v>2860.0000000000005</v>
      </c>
      <c r="L76" s="214">
        <f t="shared" si="35"/>
        <v>2761.7</v>
      </c>
      <c r="M76" s="214">
        <f t="shared" si="35"/>
        <v>2788.3</v>
      </c>
      <c r="N76" s="213">
        <f t="shared" si="35"/>
        <v>2780.3999999999996</v>
      </c>
      <c r="O76" s="214">
        <f t="shared" si="35"/>
        <v>2861.7999999999997</v>
      </c>
      <c r="P76" s="214">
        <f t="shared" si="35"/>
        <v>2940.7</v>
      </c>
      <c r="Q76" s="215">
        <f t="shared" si="35"/>
        <v>2947.1</v>
      </c>
      <c r="R76" s="214">
        <f t="shared" si="35"/>
        <v>3149.9999999999995</v>
      </c>
      <c r="S76" s="214">
        <f t="shared" si="35"/>
        <v>3228.5</v>
      </c>
      <c r="T76" s="214">
        <f t="shared" si="35"/>
        <v>3491.7999999999993</v>
      </c>
      <c r="U76" s="214">
        <f t="shared" si="35"/>
        <v>3573.9</v>
      </c>
      <c r="V76" s="213">
        <f t="shared" si="35"/>
        <v>3862.3</v>
      </c>
      <c r="W76" s="214">
        <f>SUM(W65,W67:W71)</f>
        <v>3793.7000000000003</v>
      </c>
      <c r="X76" s="214">
        <f>SUM(X65,X67:X71)</f>
        <v>3795.8999999999996</v>
      </c>
      <c r="Y76" s="215">
        <f>SUM(Y65,Y67:Y71)</f>
        <v>3736.1</v>
      </c>
      <c r="Z76" s="214">
        <f>SUM(Z65,Z67:Z71)</f>
        <v>3704.7</v>
      </c>
      <c r="AA76" s="214" t="s">
        <v>214</v>
      </c>
      <c r="AB76" s="214" t="s">
        <v>214</v>
      </c>
      <c r="AC76" s="215" t="s">
        <v>214</v>
      </c>
      <c r="AD76" s="213" t="s">
        <v>214</v>
      </c>
      <c r="AE76" s="214" t="s">
        <v>214</v>
      </c>
      <c r="AF76" s="214" t="s">
        <v>214</v>
      </c>
      <c r="AG76" s="215" t="s">
        <v>214</v>
      </c>
      <c r="AH76" s="214" t="s">
        <v>214</v>
      </c>
      <c r="AI76" s="214" t="s">
        <v>214</v>
      </c>
      <c r="AJ76" s="214" t="s">
        <v>214</v>
      </c>
      <c r="AK76" s="215" t="s">
        <v>214</v>
      </c>
      <c r="AL76" s="214" t="s">
        <v>214</v>
      </c>
      <c r="AM76" s="214" t="s">
        <v>214</v>
      </c>
      <c r="AN76" s="214" t="s">
        <v>214</v>
      </c>
      <c r="AO76" s="215" t="s">
        <v>214</v>
      </c>
      <c r="AP76" s="214" t="s">
        <v>214</v>
      </c>
      <c r="AQ76" s="214" t="s">
        <v>214</v>
      </c>
    </row>
    <row r="77" spans="1:43" ht="12.75">
      <c r="A77" s="182"/>
      <c r="B77" s="175"/>
      <c r="C77" s="176"/>
      <c r="D77" s="176"/>
      <c r="E77" s="177"/>
      <c r="F77" s="175"/>
      <c r="G77" s="176"/>
      <c r="H77" s="176"/>
      <c r="I77" s="177"/>
      <c r="J77" s="176"/>
      <c r="K77" s="176"/>
      <c r="L77" s="176"/>
      <c r="M77" s="176"/>
      <c r="N77" s="175"/>
      <c r="O77" s="176"/>
      <c r="P77" s="176"/>
      <c r="Q77" s="177"/>
      <c r="R77" s="180"/>
      <c r="S77" s="180"/>
      <c r="T77" s="180"/>
      <c r="U77" s="180"/>
      <c r="V77" s="179"/>
      <c r="W77" s="180"/>
      <c r="X77" s="180"/>
      <c r="Y77" s="181"/>
      <c r="Z77" s="180"/>
      <c r="AA77" s="180"/>
      <c r="AB77" s="180"/>
      <c r="AC77" s="181"/>
      <c r="AD77" s="179"/>
      <c r="AE77" s="180"/>
      <c r="AF77" s="180"/>
      <c r="AG77" s="181"/>
      <c r="AH77" s="180"/>
      <c r="AI77" s="180"/>
      <c r="AJ77" s="180"/>
      <c r="AK77" s="181"/>
      <c r="AL77" s="180"/>
      <c r="AM77" s="180"/>
      <c r="AN77" s="180"/>
      <c r="AO77" s="181"/>
      <c r="AP77" s="180"/>
      <c r="AQ77" s="180"/>
    </row>
    <row r="78" spans="1:43" ht="12.75">
      <c r="A78" s="183" t="s">
        <v>319</v>
      </c>
      <c r="B78" s="184">
        <f>B80</f>
        <v>0.1374</v>
      </c>
      <c r="C78" s="185">
        <f aca="true" t="shared" si="36" ref="C78:T78">C80</f>
        <v>0.1341</v>
      </c>
      <c r="D78" s="185">
        <f t="shared" si="36"/>
        <v>0.1305</v>
      </c>
      <c r="E78" s="186">
        <f t="shared" si="36"/>
        <v>0.1312</v>
      </c>
      <c r="F78" s="184">
        <f t="shared" si="36"/>
        <v>0.1102</v>
      </c>
      <c r="G78" s="185">
        <f t="shared" si="36"/>
        <v>0.1122</v>
      </c>
      <c r="H78" s="185">
        <f t="shared" si="36"/>
        <v>0.119</v>
      </c>
      <c r="I78" s="186">
        <f t="shared" si="36"/>
        <v>0.1039</v>
      </c>
      <c r="J78" s="184">
        <f t="shared" si="36"/>
        <v>0.101</v>
      </c>
      <c r="K78" s="185">
        <f t="shared" si="36"/>
        <v>0.1087</v>
      </c>
      <c r="L78" s="185">
        <f t="shared" si="36"/>
        <v>0.1207</v>
      </c>
      <c r="M78" s="186">
        <f t="shared" si="36"/>
        <v>0.1201</v>
      </c>
      <c r="N78" s="184">
        <f t="shared" si="36"/>
        <v>0.13</v>
      </c>
      <c r="O78" s="185">
        <f t="shared" si="36"/>
        <v>0.1256</v>
      </c>
      <c r="P78" s="185">
        <f t="shared" si="36"/>
        <v>0.133</v>
      </c>
      <c r="Q78" s="186">
        <f t="shared" si="36"/>
        <v>0.1315</v>
      </c>
      <c r="R78" s="184">
        <f t="shared" si="36"/>
        <v>0.1274</v>
      </c>
      <c r="S78" s="185">
        <f t="shared" si="36"/>
        <v>0.1261</v>
      </c>
      <c r="T78" s="185">
        <f t="shared" si="36"/>
        <v>0.1256</v>
      </c>
      <c r="U78" s="186">
        <f aca="true" t="shared" si="37" ref="U78:Z78">ROUND(U54/(U76*12.5),4)</f>
        <v>0.1192</v>
      </c>
      <c r="V78" s="184">
        <f t="shared" si="37"/>
        <v>0.1211</v>
      </c>
      <c r="W78" s="185">
        <f t="shared" si="37"/>
        <v>0.1298</v>
      </c>
      <c r="X78" s="185">
        <f t="shared" si="37"/>
        <v>0.1367</v>
      </c>
      <c r="Y78" s="186">
        <f t="shared" si="37"/>
        <v>0.1455</v>
      </c>
      <c r="Z78" s="184">
        <f t="shared" si="37"/>
        <v>0.1515</v>
      </c>
      <c r="AA78" s="185">
        <f aca="true" t="shared" si="38" ref="AA78:AQ78">AA79</f>
        <v>0.1583</v>
      </c>
      <c r="AB78" s="185">
        <f t="shared" si="38"/>
        <v>0.1739</v>
      </c>
      <c r="AC78" s="186">
        <f t="shared" si="38"/>
        <v>0.1728</v>
      </c>
      <c r="AD78" s="184">
        <f t="shared" si="38"/>
        <v>0.1457</v>
      </c>
      <c r="AE78" s="185">
        <f t="shared" si="38"/>
        <v>0.1504</v>
      </c>
      <c r="AF78" s="185">
        <f t="shared" si="38"/>
        <v>0.1418</v>
      </c>
      <c r="AG78" s="186">
        <f t="shared" si="38"/>
        <v>0.1417</v>
      </c>
      <c r="AH78" s="185">
        <f t="shared" si="38"/>
        <v>0.1481</v>
      </c>
      <c r="AI78" s="185">
        <f t="shared" si="38"/>
        <v>0.137</v>
      </c>
      <c r="AJ78" s="185">
        <f t="shared" si="38"/>
        <v>0.1366</v>
      </c>
      <c r="AK78" s="186">
        <f t="shared" si="38"/>
        <v>0.1374</v>
      </c>
      <c r="AL78" s="185">
        <f t="shared" si="38"/>
        <v>0.1411</v>
      </c>
      <c r="AM78" s="185">
        <f t="shared" si="38"/>
        <v>0.1458</v>
      </c>
      <c r="AN78" s="185">
        <f t="shared" si="38"/>
        <v>0.148</v>
      </c>
      <c r="AO78" s="186">
        <f t="shared" si="38"/>
        <v>0.1473</v>
      </c>
      <c r="AP78" s="185">
        <f t="shared" si="38"/>
        <v>0.1429</v>
      </c>
      <c r="AQ78" s="185">
        <f t="shared" si="38"/>
        <v>0.1528</v>
      </c>
    </row>
    <row r="79" spans="1:43" s="229" customFormat="1" ht="11.25">
      <c r="A79" s="230" t="s">
        <v>320</v>
      </c>
      <c r="B79" s="232" t="s">
        <v>214</v>
      </c>
      <c r="C79" s="233" t="s">
        <v>214</v>
      </c>
      <c r="D79" s="233" t="s">
        <v>214</v>
      </c>
      <c r="E79" s="234" t="s">
        <v>214</v>
      </c>
      <c r="F79" s="232" t="s">
        <v>214</v>
      </c>
      <c r="G79" s="233" t="s">
        <v>214</v>
      </c>
      <c r="H79" s="233" t="s">
        <v>214</v>
      </c>
      <c r="I79" s="234" t="s">
        <v>214</v>
      </c>
      <c r="J79" s="232" t="s">
        <v>214</v>
      </c>
      <c r="K79" s="233" t="s">
        <v>214</v>
      </c>
      <c r="L79" s="233" t="s">
        <v>214</v>
      </c>
      <c r="M79" s="234" t="s">
        <v>214</v>
      </c>
      <c r="N79" s="232" t="s">
        <v>214</v>
      </c>
      <c r="O79" s="233" t="s">
        <v>214</v>
      </c>
      <c r="P79" s="233" t="s">
        <v>214</v>
      </c>
      <c r="Q79" s="234" t="s">
        <v>214</v>
      </c>
      <c r="R79" s="232" t="s">
        <v>214</v>
      </c>
      <c r="S79" s="233" t="s">
        <v>214</v>
      </c>
      <c r="T79" s="233" t="s">
        <v>214</v>
      </c>
      <c r="U79" s="234">
        <f aca="true" t="shared" si="39" ref="U79:AA79">ROUND(U54/(U74*12.5),4)</f>
        <v>0.1313</v>
      </c>
      <c r="V79" s="232">
        <f t="shared" si="39"/>
        <v>0.1307</v>
      </c>
      <c r="W79" s="233">
        <f t="shared" si="39"/>
        <v>0.1349</v>
      </c>
      <c r="X79" s="233">
        <f t="shared" si="39"/>
        <v>0.1516</v>
      </c>
      <c r="Y79" s="234">
        <f t="shared" si="39"/>
        <v>0.1652</v>
      </c>
      <c r="Z79" s="232">
        <f t="shared" si="39"/>
        <v>0.1738</v>
      </c>
      <c r="AA79" s="233">
        <f t="shared" si="39"/>
        <v>0.1583</v>
      </c>
      <c r="AB79" s="233">
        <f aca="true" t="shared" si="40" ref="AB79:AG79">ROUND(AB54/(AB74*12.5),4)</f>
        <v>0.1739</v>
      </c>
      <c r="AC79" s="234">
        <f t="shared" si="40"/>
        <v>0.1728</v>
      </c>
      <c r="AD79" s="232">
        <f t="shared" si="40"/>
        <v>0.1457</v>
      </c>
      <c r="AE79" s="233">
        <f t="shared" si="40"/>
        <v>0.1504</v>
      </c>
      <c r="AF79" s="233">
        <f t="shared" si="40"/>
        <v>0.1418</v>
      </c>
      <c r="AG79" s="234">
        <f t="shared" si="40"/>
        <v>0.1417</v>
      </c>
      <c r="AH79" s="233">
        <f aca="true" t="shared" si="41" ref="AH79:AP79">ROUND(AH54/(AH74*12.5),4)</f>
        <v>0.1481</v>
      </c>
      <c r="AI79" s="233">
        <f t="shared" si="41"/>
        <v>0.137</v>
      </c>
      <c r="AJ79" s="233">
        <f t="shared" si="41"/>
        <v>0.1366</v>
      </c>
      <c r="AK79" s="234">
        <f t="shared" si="41"/>
        <v>0.1374</v>
      </c>
      <c r="AL79" s="233">
        <f t="shared" si="41"/>
        <v>0.1411</v>
      </c>
      <c r="AM79" s="233">
        <f>ROUND(AM54/(AM74*12.5),4)</f>
        <v>0.1458</v>
      </c>
      <c r="AN79" s="233">
        <f>ROUND(AN54/(AN74*12.5),4)</f>
        <v>0.148</v>
      </c>
      <c r="AO79" s="234">
        <f t="shared" si="41"/>
        <v>0.1473</v>
      </c>
      <c r="AP79" s="233">
        <f t="shared" si="41"/>
        <v>0.1429</v>
      </c>
      <c r="AQ79" s="233">
        <f>ROUND(AQ54/(AQ74*12.5),4)</f>
        <v>0.1528</v>
      </c>
    </row>
    <row r="80" spans="1:43" s="229" customFormat="1" ht="11.25">
      <c r="A80" s="231" t="s">
        <v>321</v>
      </c>
      <c r="B80" s="232">
        <f aca="true" t="shared" si="42" ref="B80:V80">ROUND(B59/(B76*12.5),4)</f>
        <v>0.1374</v>
      </c>
      <c r="C80" s="233">
        <f t="shared" si="42"/>
        <v>0.1341</v>
      </c>
      <c r="D80" s="233">
        <f t="shared" si="42"/>
        <v>0.1305</v>
      </c>
      <c r="E80" s="234">
        <f t="shared" si="42"/>
        <v>0.1312</v>
      </c>
      <c r="F80" s="232">
        <f t="shared" si="42"/>
        <v>0.1102</v>
      </c>
      <c r="G80" s="233">
        <f t="shared" si="42"/>
        <v>0.1122</v>
      </c>
      <c r="H80" s="233">
        <f t="shared" si="42"/>
        <v>0.119</v>
      </c>
      <c r="I80" s="234">
        <f t="shared" si="42"/>
        <v>0.1039</v>
      </c>
      <c r="J80" s="232">
        <f t="shared" si="42"/>
        <v>0.101</v>
      </c>
      <c r="K80" s="233">
        <f t="shared" si="42"/>
        <v>0.1087</v>
      </c>
      <c r="L80" s="233">
        <f t="shared" si="42"/>
        <v>0.1207</v>
      </c>
      <c r="M80" s="234">
        <f t="shared" si="42"/>
        <v>0.1201</v>
      </c>
      <c r="N80" s="232">
        <f t="shared" si="42"/>
        <v>0.13</v>
      </c>
      <c r="O80" s="233">
        <f t="shared" si="42"/>
        <v>0.1256</v>
      </c>
      <c r="P80" s="233">
        <f t="shared" si="42"/>
        <v>0.133</v>
      </c>
      <c r="Q80" s="234">
        <f t="shared" si="42"/>
        <v>0.1315</v>
      </c>
      <c r="R80" s="232">
        <f t="shared" si="42"/>
        <v>0.1274</v>
      </c>
      <c r="S80" s="233">
        <f t="shared" si="42"/>
        <v>0.1261</v>
      </c>
      <c r="T80" s="233">
        <f t="shared" si="42"/>
        <v>0.1256</v>
      </c>
      <c r="U80" s="234">
        <f t="shared" si="42"/>
        <v>0.1227</v>
      </c>
      <c r="V80" s="232">
        <f t="shared" si="42"/>
        <v>0.1243</v>
      </c>
      <c r="W80" s="233">
        <f>ROUND(W59/(W76*12.5),4)</f>
        <v>0.1328</v>
      </c>
      <c r="X80" s="233">
        <f>ROUND(X59/(X76*12.5),4)</f>
        <v>0.1397</v>
      </c>
      <c r="Y80" s="234">
        <f>ROUND(Y59/(Y76*12.5),4)</f>
        <v>0.1483</v>
      </c>
      <c r="Z80" s="232">
        <f>ROUND(Z59/(Z76*12.5),4)</f>
        <v>0.1545</v>
      </c>
      <c r="AA80" s="233" t="s">
        <v>214</v>
      </c>
      <c r="AB80" s="233" t="s">
        <v>214</v>
      </c>
      <c r="AC80" s="234" t="s">
        <v>214</v>
      </c>
      <c r="AD80" s="232" t="s">
        <v>214</v>
      </c>
      <c r="AE80" s="233" t="s">
        <v>214</v>
      </c>
      <c r="AF80" s="233" t="s">
        <v>214</v>
      </c>
      <c r="AG80" s="234" t="s">
        <v>214</v>
      </c>
      <c r="AH80" s="233" t="s">
        <v>214</v>
      </c>
      <c r="AI80" s="233" t="s">
        <v>214</v>
      </c>
      <c r="AJ80" s="233" t="s">
        <v>214</v>
      </c>
      <c r="AK80" s="234" t="s">
        <v>214</v>
      </c>
      <c r="AL80" s="233" t="s">
        <v>214</v>
      </c>
      <c r="AM80" s="233" t="s">
        <v>214</v>
      </c>
      <c r="AN80" s="233" t="s">
        <v>214</v>
      </c>
      <c r="AO80" s="234" t="s">
        <v>214</v>
      </c>
      <c r="AP80" s="234" t="s">
        <v>214</v>
      </c>
      <c r="AQ80" s="234" t="s">
        <v>214</v>
      </c>
    </row>
    <row r="81" spans="1:43" ht="12.75">
      <c r="A81" s="147"/>
      <c r="B81" s="304"/>
      <c r="C81" s="289"/>
      <c r="D81" s="289"/>
      <c r="E81" s="290"/>
      <c r="F81" s="304"/>
      <c r="G81" s="289"/>
      <c r="H81" s="289"/>
      <c r="I81" s="290"/>
      <c r="J81" s="304"/>
      <c r="K81" s="289"/>
      <c r="L81" s="289"/>
      <c r="M81" s="290"/>
      <c r="N81" s="304"/>
      <c r="O81" s="289"/>
      <c r="P81" s="289"/>
      <c r="Q81" s="290"/>
      <c r="R81" s="304"/>
      <c r="S81" s="289"/>
      <c r="T81" s="289"/>
      <c r="U81" s="290"/>
      <c r="V81" s="304"/>
      <c r="W81" s="289"/>
      <c r="X81" s="289"/>
      <c r="Y81" s="290"/>
      <c r="Z81" s="304"/>
      <c r="AA81" s="289"/>
      <c r="AB81" s="289"/>
      <c r="AC81" s="290"/>
      <c r="AD81" s="304"/>
      <c r="AE81" s="289"/>
      <c r="AF81" s="289"/>
      <c r="AG81" s="290"/>
      <c r="AH81" s="289"/>
      <c r="AI81" s="289"/>
      <c r="AJ81" s="289"/>
      <c r="AK81" s="290"/>
      <c r="AL81" s="289"/>
      <c r="AM81" s="289"/>
      <c r="AN81" s="289"/>
      <c r="AO81" s="290"/>
      <c r="AP81" s="289"/>
      <c r="AQ81" s="289"/>
    </row>
    <row r="82" spans="1:43" s="188" customFormat="1" ht="12">
      <c r="A82" s="187" t="s">
        <v>280</v>
      </c>
      <c r="B82" s="305">
        <f>B84</f>
        <v>0.1345</v>
      </c>
      <c r="C82" s="291">
        <f aca="true" t="shared" si="43" ref="C82:T82">C84</f>
        <v>0.1337</v>
      </c>
      <c r="D82" s="291">
        <f t="shared" si="43"/>
        <v>0.1246</v>
      </c>
      <c r="E82" s="292">
        <f t="shared" si="43"/>
        <v>0.1271</v>
      </c>
      <c r="F82" s="305">
        <f t="shared" si="43"/>
        <v>0.1092</v>
      </c>
      <c r="G82" s="291">
        <f t="shared" si="43"/>
        <v>0.1102</v>
      </c>
      <c r="H82" s="291">
        <f t="shared" si="43"/>
        <v>0.1162</v>
      </c>
      <c r="I82" s="292">
        <f t="shared" si="43"/>
        <v>0.1017</v>
      </c>
      <c r="J82" s="305">
        <f t="shared" si="43"/>
        <v>0.101</v>
      </c>
      <c r="K82" s="291">
        <f t="shared" si="43"/>
        <v>0.1069</v>
      </c>
      <c r="L82" s="291">
        <f t="shared" si="43"/>
        <v>0.1191</v>
      </c>
      <c r="M82" s="292">
        <f t="shared" si="43"/>
        <v>0.1182</v>
      </c>
      <c r="N82" s="305">
        <f t="shared" si="43"/>
        <v>0.1284</v>
      </c>
      <c r="O82" s="291">
        <f t="shared" si="43"/>
        <v>0.1245</v>
      </c>
      <c r="P82" s="291">
        <f t="shared" si="43"/>
        <v>0.1318</v>
      </c>
      <c r="Q82" s="292">
        <f t="shared" si="43"/>
        <v>0.1308</v>
      </c>
      <c r="R82" s="305">
        <f t="shared" si="43"/>
        <v>0.1258</v>
      </c>
      <c r="S82" s="291">
        <f t="shared" si="43"/>
        <v>0.124</v>
      </c>
      <c r="T82" s="291">
        <f t="shared" si="43"/>
        <v>0.1247</v>
      </c>
      <c r="U82" s="292">
        <f aca="true" t="shared" si="44" ref="U82:Z82">ROUND(U55/(U76*12.5),4)</f>
        <v>0.1185</v>
      </c>
      <c r="V82" s="305">
        <f t="shared" si="44"/>
        <v>0.1202</v>
      </c>
      <c r="W82" s="291">
        <f t="shared" si="44"/>
        <v>0.1282</v>
      </c>
      <c r="X82" s="291">
        <f t="shared" si="44"/>
        <v>0.1317</v>
      </c>
      <c r="Y82" s="292">
        <f t="shared" si="44"/>
        <v>0.1339</v>
      </c>
      <c r="Z82" s="305">
        <f t="shared" si="44"/>
        <v>0.1436</v>
      </c>
      <c r="AA82" s="291">
        <f aca="true" t="shared" si="45" ref="AA82:AH82">AA83</f>
        <v>0.1524</v>
      </c>
      <c r="AB82" s="291">
        <f t="shared" si="45"/>
        <v>0.1699</v>
      </c>
      <c r="AC82" s="292">
        <f t="shared" si="45"/>
        <v>0.1666</v>
      </c>
      <c r="AD82" s="305">
        <f t="shared" si="45"/>
        <v>0.1457</v>
      </c>
      <c r="AE82" s="291">
        <f t="shared" si="45"/>
        <v>0.1504</v>
      </c>
      <c r="AF82" s="291">
        <f t="shared" si="45"/>
        <v>0.1418</v>
      </c>
      <c r="AG82" s="292">
        <f t="shared" si="45"/>
        <v>0.1417</v>
      </c>
      <c r="AH82" s="291">
        <f t="shared" si="45"/>
        <v>0.1481</v>
      </c>
      <c r="AI82" s="291">
        <f aca="true" t="shared" si="46" ref="AI82:AQ82">AI83</f>
        <v>0.137</v>
      </c>
      <c r="AJ82" s="291">
        <f t="shared" si="46"/>
        <v>0.1366</v>
      </c>
      <c r="AK82" s="292">
        <f t="shared" si="46"/>
        <v>0.1374</v>
      </c>
      <c r="AL82" s="291">
        <f t="shared" si="46"/>
        <v>0.1411</v>
      </c>
      <c r="AM82" s="291">
        <f t="shared" si="46"/>
        <v>0.1354</v>
      </c>
      <c r="AN82" s="291">
        <f t="shared" si="46"/>
        <v>0.138</v>
      </c>
      <c r="AO82" s="292">
        <f t="shared" si="46"/>
        <v>0.137</v>
      </c>
      <c r="AP82" s="291">
        <f t="shared" si="46"/>
        <v>0.1333</v>
      </c>
      <c r="AQ82" s="291">
        <f t="shared" si="46"/>
        <v>0.1435</v>
      </c>
    </row>
    <row r="83" spans="1:43" s="229" customFormat="1" ht="11.25">
      <c r="A83" s="235" t="s">
        <v>251</v>
      </c>
      <c r="B83" s="277" t="s">
        <v>214</v>
      </c>
      <c r="C83" s="276" t="s">
        <v>214</v>
      </c>
      <c r="D83" s="276" t="s">
        <v>214</v>
      </c>
      <c r="E83" s="293" t="s">
        <v>214</v>
      </c>
      <c r="F83" s="277" t="s">
        <v>214</v>
      </c>
      <c r="G83" s="276" t="s">
        <v>214</v>
      </c>
      <c r="H83" s="276" t="s">
        <v>214</v>
      </c>
      <c r="I83" s="293" t="s">
        <v>214</v>
      </c>
      <c r="J83" s="277" t="s">
        <v>214</v>
      </c>
      <c r="K83" s="276" t="s">
        <v>214</v>
      </c>
      <c r="L83" s="276" t="s">
        <v>214</v>
      </c>
      <c r="M83" s="293" t="s">
        <v>214</v>
      </c>
      <c r="N83" s="277" t="s">
        <v>214</v>
      </c>
      <c r="O83" s="276" t="s">
        <v>214</v>
      </c>
      <c r="P83" s="276" t="s">
        <v>214</v>
      </c>
      <c r="Q83" s="293" t="s">
        <v>214</v>
      </c>
      <c r="R83" s="277" t="s">
        <v>214</v>
      </c>
      <c r="S83" s="276" t="s">
        <v>214</v>
      </c>
      <c r="T83" s="276" t="s">
        <v>214</v>
      </c>
      <c r="U83" s="293">
        <f aca="true" t="shared" si="47" ref="U83:AP83">ROUND(U55/(U74*12.5),4)</f>
        <v>0.1305</v>
      </c>
      <c r="V83" s="277">
        <f t="shared" si="47"/>
        <v>0.1298</v>
      </c>
      <c r="W83" s="276">
        <f t="shared" si="47"/>
        <v>0.1331</v>
      </c>
      <c r="X83" s="276">
        <f t="shared" si="47"/>
        <v>0.146</v>
      </c>
      <c r="Y83" s="293">
        <f t="shared" si="47"/>
        <v>0.152</v>
      </c>
      <c r="Z83" s="277">
        <f t="shared" si="47"/>
        <v>0.1647</v>
      </c>
      <c r="AA83" s="276">
        <f t="shared" si="47"/>
        <v>0.1524</v>
      </c>
      <c r="AB83" s="276">
        <f t="shared" si="47"/>
        <v>0.1699</v>
      </c>
      <c r="AC83" s="293">
        <f t="shared" si="47"/>
        <v>0.1666</v>
      </c>
      <c r="AD83" s="277">
        <f t="shared" si="47"/>
        <v>0.1457</v>
      </c>
      <c r="AE83" s="276">
        <f t="shared" si="47"/>
        <v>0.1504</v>
      </c>
      <c r="AF83" s="276">
        <f t="shared" si="47"/>
        <v>0.1418</v>
      </c>
      <c r="AG83" s="293">
        <f t="shared" si="47"/>
        <v>0.1417</v>
      </c>
      <c r="AH83" s="276">
        <f t="shared" si="47"/>
        <v>0.1481</v>
      </c>
      <c r="AI83" s="276">
        <f t="shared" si="47"/>
        <v>0.137</v>
      </c>
      <c r="AJ83" s="276">
        <f t="shared" si="47"/>
        <v>0.1366</v>
      </c>
      <c r="AK83" s="293">
        <f t="shared" si="47"/>
        <v>0.1374</v>
      </c>
      <c r="AL83" s="276">
        <f t="shared" si="47"/>
        <v>0.1411</v>
      </c>
      <c r="AM83" s="276">
        <f>ROUND(AM55/(AM74*12.5),4)</f>
        <v>0.1354</v>
      </c>
      <c r="AN83" s="276">
        <f>ROUND(AN55/(AN74*12.5),4)</f>
        <v>0.138</v>
      </c>
      <c r="AO83" s="293">
        <f t="shared" si="47"/>
        <v>0.137</v>
      </c>
      <c r="AP83" s="276">
        <f t="shared" si="47"/>
        <v>0.1333</v>
      </c>
      <c r="AQ83" s="276">
        <f>ROUND(AQ55/(AQ74*12.5),4)</f>
        <v>0.1435</v>
      </c>
    </row>
    <row r="84" spans="1:43" s="229" customFormat="1" ht="11.25">
      <c r="A84" s="236" t="s">
        <v>250</v>
      </c>
      <c r="B84" s="277">
        <f aca="true" t="shared" si="48" ref="B84:V84">ROUND(B60/(B76*12.5),4)</f>
        <v>0.1345</v>
      </c>
      <c r="C84" s="276">
        <f t="shared" si="48"/>
        <v>0.1337</v>
      </c>
      <c r="D84" s="276">
        <f t="shared" si="48"/>
        <v>0.1246</v>
      </c>
      <c r="E84" s="293">
        <f t="shared" si="48"/>
        <v>0.1271</v>
      </c>
      <c r="F84" s="277">
        <f t="shared" si="48"/>
        <v>0.1092</v>
      </c>
      <c r="G84" s="276">
        <f t="shared" si="48"/>
        <v>0.1102</v>
      </c>
      <c r="H84" s="276">
        <f t="shared" si="48"/>
        <v>0.1162</v>
      </c>
      <c r="I84" s="293">
        <f t="shared" si="48"/>
        <v>0.1017</v>
      </c>
      <c r="J84" s="277">
        <f t="shared" si="48"/>
        <v>0.101</v>
      </c>
      <c r="K84" s="276">
        <f t="shared" si="48"/>
        <v>0.1069</v>
      </c>
      <c r="L84" s="276">
        <f t="shared" si="48"/>
        <v>0.1191</v>
      </c>
      <c r="M84" s="293">
        <f t="shared" si="48"/>
        <v>0.1182</v>
      </c>
      <c r="N84" s="277">
        <f t="shared" si="48"/>
        <v>0.1284</v>
      </c>
      <c r="O84" s="276">
        <f t="shared" si="48"/>
        <v>0.1245</v>
      </c>
      <c r="P84" s="276">
        <f t="shared" si="48"/>
        <v>0.1318</v>
      </c>
      <c r="Q84" s="293">
        <f t="shared" si="48"/>
        <v>0.1308</v>
      </c>
      <c r="R84" s="277">
        <f t="shared" si="48"/>
        <v>0.1258</v>
      </c>
      <c r="S84" s="276">
        <f t="shared" si="48"/>
        <v>0.124</v>
      </c>
      <c r="T84" s="276">
        <f t="shared" si="48"/>
        <v>0.1247</v>
      </c>
      <c r="U84" s="293">
        <f t="shared" si="48"/>
        <v>0.1217</v>
      </c>
      <c r="V84" s="277">
        <f t="shared" si="48"/>
        <v>0.1218</v>
      </c>
      <c r="W84" s="276">
        <f>ROUND(W60/(W76*12.5),4)</f>
        <v>0.1297</v>
      </c>
      <c r="X84" s="276">
        <f>ROUND(X60/(X76*12.5),4)</f>
        <v>0.1332</v>
      </c>
      <c r="Y84" s="293">
        <f>ROUND(Y60/(Y76*12.5),4)</f>
        <v>0.1353</v>
      </c>
      <c r="Z84" s="277">
        <f>ROUND(Z60/(Z76*12.5),4)</f>
        <v>0.1451</v>
      </c>
      <c r="AA84" s="276" t="s">
        <v>214</v>
      </c>
      <c r="AB84" s="276" t="s">
        <v>214</v>
      </c>
      <c r="AC84" s="293" t="s">
        <v>214</v>
      </c>
      <c r="AD84" s="277" t="s">
        <v>214</v>
      </c>
      <c r="AE84" s="276" t="s">
        <v>214</v>
      </c>
      <c r="AF84" s="276" t="s">
        <v>214</v>
      </c>
      <c r="AG84" s="293" t="s">
        <v>214</v>
      </c>
      <c r="AH84" s="276" t="s">
        <v>214</v>
      </c>
      <c r="AI84" s="276" t="s">
        <v>214</v>
      </c>
      <c r="AJ84" s="276" t="s">
        <v>214</v>
      </c>
      <c r="AK84" s="293" t="s">
        <v>214</v>
      </c>
      <c r="AL84" s="276" t="s">
        <v>214</v>
      </c>
      <c r="AM84" s="276" t="s">
        <v>214</v>
      </c>
      <c r="AN84" s="276" t="s">
        <v>214</v>
      </c>
      <c r="AO84" s="293" t="s">
        <v>214</v>
      </c>
      <c r="AP84" s="276" t="s">
        <v>214</v>
      </c>
      <c r="AQ84" s="276" t="s">
        <v>214</v>
      </c>
    </row>
    <row r="87" spans="2:20" ht="12.75">
      <c r="B87" s="189"/>
      <c r="C87" s="189"/>
      <c r="D87" s="189"/>
      <c r="E87" s="189"/>
      <c r="F87" s="189"/>
      <c r="G87" s="189"/>
      <c r="H87" s="189"/>
      <c r="I87" s="189"/>
      <c r="J87" s="189"/>
      <c r="K87" s="189"/>
      <c r="L87" s="189"/>
      <c r="M87" s="189"/>
      <c r="N87" s="189"/>
      <c r="O87" s="189"/>
      <c r="P87" s="189"/>
      <c r="Q87" s="189"/>
      <c r="R87" s="189"/>
      <c r="S87" s="189"/>
      <c r="T87" s="189"/>
    </row>
    <row r="90" spans="2:30" ht="12.75">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row>
  </sheetData>
  <sheetProtection/>
  <mergeCells count="12">
    <mergeCell ref="A10:A11"/>
    <mergeCell ref="B10:E10"/>
    <mergeCell ref="F10:I10"/>
    <mergeCell ref="J10:M10"/>
    <mergeCell ref="AH10:AK10"/>
    <mergeCell ref="N10:Q10"/>
    <mergeCell ref="Z10:AC10"/>
    <mergeCell ref="AP10:AQ10"/>
    <mergeCell ref="R10:U10"/>
    <mergeCell ref="V10:Y10"/>
    <mergeCell ref="AD10:AG10"/>
    <mergeCell ref="AL10:AO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22" r:id="rId3"/>
  <ignoredErrors>
    <ignoredError sqref="B49:AD49 B82:AC82 B80:AD81 B79:AC79 B59:AD64 B54:AC54 B55:AB55 B53:AD53 B50:AC52 B56:AC57 B78:AD78 B66:AD71 B65:AC65 B73:AD77 B72:AD72 B58:AC58" formulaRange="1"/>
  </ignoredErrors>
  <legacyDrawing r:id="rId2"/>
</worksheet>
</file>

<file path=xl/worksheets/sheet14.xml><?xml version="1.0" encoding="utf-8"?>
<worksheet xmlns="http://schemas.openxmlformats.org/spreadsheetml/2006/main" xmlns:r="http://schemas.openxmlformats.org/officeDocument/2006/relationships">
  <dimension ref="A1:AQ19"/>
  <sheetViews>
    <sheetView showGridLines="0" view="pageBreakPreview" zoomScale="90" zoomScaleSheetLayoutView="90" zoomScalePageLayoutView="80" workbookViewId="0" topLeftCell="A1">
      <pane xSplit="1" ySplit="3" topLeftCell="B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cols>
    <col min="1" max="1" width="45.375" style="2" customWidth="1"/>
    <col min="2" max="28" width="5.375" style="3" bestFit="1" customWidth="1"/>
    <col min="29" max="31" width="5.375" style="3" customWidth="1"/>
    <col min="32" max="32" width="5.375" style="3" bestFit="1" customWidth="1"/>
    <col min="33" max="33" width="5.375" style="3" customWidth="1"/>
    <col min="34" max="34" width="5.375" style="3" bestFit="1" customWidth="1"/>
    <col min="35" max="43" width="5.375" style="3" customWidth="1"/>
    <col min="44" max="16384" width="8.875" style="3" customWidth="1"/>
  </cols>
  <sheetData>
    <row r="1" ht="12.75">
      <c r="A1" s="246" t="s">
        <v>281</v>
      </c>
    </row>
    <row r="2" spans="1:43" ht="12.75" customHeight="1">
      <c r="A2" s="332" t="s">
        <v>164</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5"/>
      <c r="Z2" s="334">
        <v>2013</v>
      </c>
      <c r="AA2" s="335"/>
      <c r="AB2" s="335"/>
      <c r="AC2" s="335"/>
      <c r="AD2" s="334">
        <v>2014</v>
      </c>
      <c r="AE2" s="335"/>
      <c r="AF2" s="335"/>
      <c r="AG2" s="335"/>
      <c r="AH2" s="334">
        <v>2015</v>
      </c>
      <c r="AI2" s="335"/>
      <c r="AJ2" s="335"/>
      <c r="AK2" s="335"/>
      <c r="AL2" s="334">
        <v>2016</v>
      </c>
      <c r="AM2" s="335"/>
      <c r="AN2" s="335"/>
      <c r="AO2" s="335"/>
      <c r="AP2" s="334">
        <v>2017</v>
      </c>
      <c r="AQ2" s="335"/>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c r="AO3" s="35" t="s">
        <v>3</v>
      </c>
      <c r="AP3" s="34" t="s">
        <v>0</v>
      </c>
      <c r="AQ3" s="35" t="s">
        <v>1</v>
      </c>
    </row>
    <row r="4" spans="1:43" s="4" customFormat="1" ht="12.75" customHeight="1">
      <c r="A4" s="20"/>
      <c r="B4" s="16"/>
      <c r="C4" s="5"/>
      <c r="D4" s="5"/>
      <c r="E4" s="5"/>
      <c r="F4" s="16"/>
      <c r="G4" s="5"/>
      <c r="H4" s="5"/>
      <c r="I4" s="18"/>
      <c r="J4" s="16"/>
      <c r="K4" s="5"/>
      <c r="L4" s="5"/>
      <c r="M4" s="18"/>
      <c r="N4" s="16"/>
      <c r="O4" s="5"/>
      <c r="P4" s="5"/>
      <c r="Q4" s="18"/>
      <c r="R4" s="16"/>
      <c r="S4" s="5"/>
      <c r="T4" s="5"/>
      <c r="U4" s="18"/>
      <c r="V4" s="16"/>
      <c r="W4" s="5"/>
      <c r="X4" s="5"/>
      <c r="Y4" s="5"/>
      <c r="Z4" s="16"/>
      <c r="AA4" s="5"/>
      <c r="AB4" s="5"/>
      <c r="AC4" s="5"/>
      <c r="AD4" s="16"/>
      <c r="AE4" s="5"/>
      <c r="AF4" s="5"/>
      <c r="AG4" s="5"/>
      <c r="AH4" s="16"/>
      <c r="AI4" s="5"/>
      <c r="AJ4" s="5"/>
      <c r="AK4" s="5"/>
      <c r="AL4" s="16"/>
      <c r="AM4" s="5"/>
      <c r="AN4" s="5"/>
      <c r="AO4" s="5"/>
      <c r="AP4" s="16"/>
      <c r="AQ4" s="5"/>
    </row>
    <row r="5" spans="1:43" s="7" customFormat="1" ht="12.75">
      <c r="A5" s="88" t="s">
        <v>165</v>
      </c>
      <c r="B5" s="16"/>
      <c r="C5" s="5"/>
      <c r="D5" s="5"/>
      <c r="E5" s="5"/>
      <c r="F5" s="16"/>
      <c r="G5" s="5"/>
      <c r="H5" s="5"/>
      <c r="I5" s="18"/>
      <c r="J5" s="16"/>
      <c r="K5" s="5"/>
      <c r="L5" s="5"/>
      <c r="M5" s="18"/>
      <c r="N5" s="16"/>
      <c r="O5" s="5"/>
      <c r="P5" s="5"/>
      <c r="Q5" s="18"/>
      <c r="R5" s="16"/>
      <c r="S5" s="5"/>
      <c r="T5" s="5"/>
      <c r="U5" s="18"/>
      <c r="V5" s="16"/>
      <c r="W5" s="5"/>
      <c r="X5" s="5"/>
      <c r="Y5" s="5"/>
      <c r="Z5" s="16"/>
      <c r="AA5" s="5"/>
      <c r="AB5" s="5"/>
      <c r="AC5" s="5"/>
      <c r="AD5" s="16"/>
      <c r="AE5" s="5"/>
      <c r="AF5" s="5"/>
      <c r="AG5" s="5"/>
      <c r="AH5" s="16"/>
      <c r="AI5" s="5"/>
      <c r="AJ5" s="5"/>
      <c r="AK5" s="5"/>
      <c r="AL5" s="16"/>
      <c r="AM5" s="5"/>
      <c r="AN5" s="5"/>
      <c r="AO5" s="5"/>
      <c r="AP5" s="16"/>
      <c r="AQ5" s="5"/>
    </row>
    <row r="6" spans="1:43" s="7" customFormat="1" ht="12.75">
      <c r="A6" s="38" t="s">
        <v>166</v>
      </c>
      <c r="B6" s="16"/>
      <c r="C6" s="5"/>
      <c r="D6" s="5"/>
      <c r="E6" s="5"/>
      <c r="F6" s="16"/>
      <c r="G6" s="5"/>
      <c r="H6" s="5"/>
      <c r="I6" s="18"/>
      <c r="J6" s="16"/>
      <c r="K6" s="5"/>
      <c r="L6" s="5"/>
      <c r="M6" s="18"/>
      <c r="N6" s="16"/>
      <c r="O6" s="5"/>
      <c r="P6" s="5"/>
      <c r="Q6" s="18"/>
      <c r="R6" s="16"/>
      <c r="S6" s="5"/>
      <c r="T6" s="5"/>
      <c r="U6" s="18"/>
      <c r="V6" s="16"/>
      <c r="W6" s="5"/>
      <c r="X6" s="5"/>
      <c r="Y6" s="5"/>
      <c r="Z6" s="16"/>
      <c r="AA6" s="5"/>
      <c r="AB6" s="5"/>
      <c r="AC6" s="5"/>
      <c r="AD6" s="16"/>
      <c r="AE6" s="5"/>
      <c r="AF6" s="5"/>
      <c r="AG6" s="5"/>
      <c r="AH6" s="16"/>
      <c r="AI6" s="5"/>
      <c r="AJ6" s="5"/>
      <c r="AK6" s="5"/>
      <c r="AL6" s="16"/>
      <c r="AM6" s="5"/>
      <c r="AN6" s="5"/>
      <c r="AO6" s="5"/>
      <c r="AP6" s="16"/>
      <c r="AQ6" s="5"/>
    </row>
    <row r="7" spans="1:43" s="7" customFormat="1" ht="12.75">
      <c r="A7" s="38" t="s">
        <v>167</v>
      </c>
      <c r="B7" s="21">
        <v>7578</v>
      </c>
      <c r="C7" s="19">
        <v>7676</v>
      </c>
      <c r="D7" s="19">
        <v>7828</v>
      </c>
      <c r="E7" s="19">
        <v>8048</v>
      </c>
      <c r="F7" s="21">
        <v>8137</v>
      </c>
      <c r="G7" s="19">
        <v>8318</v>
      </c>
      <c r="H7" s="19">
        <v>8330</v>
      </c>
      <c r="I7" s="22">
        <v>8454</v>
      </c>
      <c r="J7" s="21">
        <v>8368</v>
      </c>
      <c r="K7" s="19">
        <v>8196</v>
      </c>
      <c r="L7" s="19">
        <v>8092</v>
      </c>
      <c r="M7" s="22">
        <v>8064</v>
      </c>
      <c r="N7" s="21">
        <v>8084</v>
      </c>
      <c r="O7" s="19">
        <v>8183</v>
      </c>
      <c r="P7" s="19">
        <v>8366</v>
      </c>
      <c r="Q7" s="22">
        <v>8314</v>
      </c>
      <c r="R7" s="21">
        <v>8358</v>
      </c>
      <c r="S7" s="19">
        <v>8357</v>
      </c>
      <c r="T7" s="19">
        <v>8212</v>
      </c>
      <c r="U7" s="22">
        <v>8344</v>
      </c>
      <c r="V7" s="21">
        <v>8608</v>
      </c>
      <c r="W7" s="19">
        <v>8639</v>
      </c>
      <c r="X7" s="19">
        <v>8633</v>
      </c>
      <c r="Y7" s="19">
        <v>8603</v>
      </c>
      <c r="Z7" s="21">
        <v>8569</v>
      </c>
      <c r="AA7" s="19">
        <v>8511</v>
      </c>
      <c r="AB7" s="19">
        <v>8449</v>
      </c>
      <c r="AC7" s="19">
        <v>8396</v>
      </c>
      <c r="AD7" s="21">
        <v>8327</v>
      </c>
      <c r="AE7" s="19">
        <v>8302</v>
      </c>
      <c r="AF7" s="143">
        <v>8302</v>
      </c>
      <c r="AG7" s="143">
        <v>8287</v>
      </c>
      <c r="AH7" s="21">
        <v>8332</v>
      </c>
      <c r="AI7" s="19">
        <v>8338</v>
      </c>
      <c r="AJ7" s="19">
        <v>8314</v>
      </c>
      <c r="AK7" s="19">
        <v>8274</v>
      </c>
      <c r="AL7" s="21">
        <v>8271</v>
      </c>
      <c r="AM7" s="19">
        <v>8245</v>
      </c>
      <c r="AN7" s="19">
        <v>8179</v>
      </c>
      <c r="AO7" s="19">
        <v>8025</v>
      </c>
      <c r="AP7" s="21">
        <v>7966</v>
      </c>
      <c r="AQ7" s="19">
        <v>7980</v>
      </c>
    </row>
    <row r="8" spans="1:43" s="4" customFormat="1" ht="12.75">
      <c r="A8" s="38" t="s">
        <v>168</v>
      </c>
      <c r="B8" s="21">
        <v>7331.890625000001</v>
      </c>
      <c r="C8" s="19">
        <v>7417.3703125</v>
      </c>
      <c r="D8" s="19">
        <v>7578.3996875</v>
      </c>
      <c r="E8" s="19">
        <v>7792.974375</v>
      </c>
      <c r="F8" s="21">
        <v>7946.246875000001</v>
      </c>
      <c r="G8" s="19">
        <v>8125.224375</v>
      </c>
      <c r="H8" s="19">
        <v>8143.546250000001</v>
      </c>
      <c r="I8" s="22">
        <v>8279.62125</v>
      </c>
      <c r="J8" s="21">
        <v>8206.493125</v>
      </c>
      <c r="K8" s="19">
        <v>8048.772499999999</v>
      </c>
      <c r="L8" s="19">
        <v>7951.614062500001</v>
      </c>
      <c r="M8" s="22">
        <v>7914.1831250000005</v>
      </c>
      <c r="N8" s="21">
        <v>7931.975108695651</v>
      </c>
      <c r="O8" s="19">
        <v>8027.096428571427</v>
      </c>
      <c r="P8" s="19">
        <v>8219.505397727273</v>
      </c>
      <c r="Q8" s="22">
        <v>8158.847826086957</v>
      </c>
      <c r="R8" s="21">
        <v>8216.885</v>
      </c>
      <c r="S8" s="19">
        <v>8204.343</v>
      </c>
      <c r="T8" s="19">
        <v>8061.383</v>
      </c>
      <c r="U8" s="22">
        <v>8194.903999999999</v>
      </c>
      <c r="V8" s="21">
        <v>8453.421214554226</v>
      </c>
      <c r="W8" s="19">
        <v>8487.603215300001</v>
      </c>
      <c r="X8" s="19">
        <v>8465.273</v>
      </c>
      <c r="Y8" s="19">
        <v>8424.765</v>
      </c>
      <c r="Z8" s="21">
        <v>8391.225</v>
      </c>
      <c r="AA8" s="19">
        <v>8381.15</v>
      </c>
      <c r="AB8" s="19">
        <v>8336.17</v>
      </c>
      <c r="AC8" s="19">
        <v>8275.955</v>
      </c>
      <c r="AD8" s="21">
        <v>8208.862380952381</v>
      </c>
      <c r="AE8" s="19">
        <v>8230.240000000002</v>
      </c>
      <c r="AF8" s="19">
        <v>8229.130000000001</v>
      </c>
      <c r="AG8" s="19">
        <v>8223.895</v>
      </c>
      <c r="AH8" s="21">
        <v>8274.62</v>
      </c>
      <c r="AI8" s="19">
        <v>8272.025</v>
      </c>
      <c r="AJ8" s="19">
        <v>8254.363409090909</v>
      </c>
      <c r="AK8" s="19">
        <v>8218.66096590909</v>
      </c>
      <c r="AL8" s="21">
        <v>8215.844772727272</v>
      </c>
      <c r="AM8" s="19">
        <v>8193.155681818183</v>
      </c>
      <c r="AN8" s="19">
        <v>8130.4175</v>
      </c>
      <c r="AO8" s="19">
        <v>7969.555</v>
      </c>
      <c r="AP8" s="21">
        <v>7912.6</v>
      </c>
      <c r="AQ8" s="19">
        <v>7932.8</v>
      </c>
    </row>
    <row r="9" spans="1:43" s="9" customFormat="1" ht="12.75">
      <c r="A9" s="38" t="s">
        <v>169</v>
      </c>
      <c r="B9" s="21"/>
      <c r="C9" s="19"/>
      <c r="D9" s="19"/>
      <c r="E9" s="19"/>
      <c r="F9" s="21"/>
      <c r="G9" s="19"/>
      <c r="H9" s="19"/>
      <c r="I9" s="22"/>
      <c r="J9" s="21"/>
      <c r="K9" s="19"/>
      <c r="L9" s="19"/>
      <c r="M9" s="22"/>
      <c r="N9" s="21"/>
      <c r="O9" s="19"/>
      <c r="P9" s="19"/>
      <c r="Q9" s="22"/>
      <c r="R9" s="21"/>
      <c r="S9" s="19"/>
      <c r="T9" s="19"/>
      <c r="U9" s="22"/>
      <c r="V9" s="21"/>
      <c r="W9" s="19"/>
      <c r="X9" s="19"/>
      <c r="Y9" s="19"/>
      <c r="Z9" s="21"/>
      <c r="AA9" s="19"/>
      <c r="AB9" s="19"/>
      <c r="AC9" s="19"/>
      <c r="AD9" s="21"/>
      <c r="AE9" s="19"/>
      <c r="AF9" s="143"/>
      <c r="AG9" s="143"/>
      <c r="AH9" s="21"/>
      <c r="AI9" s="19"/>
      <c r="AJ9" s="19"/>
      <c r="AK9" s="19"/>
      <c r="AL9" s="21"/>
      <c r="AM9" s="19"/>
      <c r="AN9" s="19"/>
      <c r="AO9" s="19"/>
      <c r="AP9" s="21"/>
      <c r="AQ9" s="19"/>
    </row>
    <row r="10" spans="1:43" s="9" customFormat="1" ht="12.75">
      <c r="A10" s="38" t="s">
        <v>167</v>
      </c>
      <c r="B10" s="21">
        <v>7338</v>
      </c>
      <c r="C10" s="19">
        <v>7439</v>
      </c>
      <c r="D10" s="19">
        <v>7588</v>
      </c>
      <c r="E10" s="19">
        <v>7816</v>
      </c>
      <c r="F10" s="21">
        <v>7905</v>
      </c>
      <c r="G10" s="19">
        <v>8082</v>
      </c>
      <c r="H10" s="19">
        <v>8096</v>
      </c>
      <c r="I10" s="22">
        <v>8214</v>
      </c>
      <c r="J10" s="21">
        <v>8131</v>
      </c>
      <c r="K10" s="19">
        <v>7966</v>
      </c>
      <c r="L10" s="19">
        <v>7850</v>
      </c>
      <c r="M10" s="22">
        <v>7827</v>
      </c>
      <c r="N10" s="21">
        <v>7846</v>
      </c>
      <c r="O10" s="19">
        <v>7946</v>
      </c>
      <c r="P10" s="19">
        <v>8127</v>
      </c>
      <c r="Q10" s="22">
        <v>8068</v>
      </c>
      <c r="R10" s="21">
        <v>8113</v>
      </c>
      <c r="S10" s="19">
        <v>8115</v>
      </c>
      <c r="T10" s="19">
        <v>7984</v>
      </c>
      <c r="U10" s="22">
        <v>8149</v>
      </c>
      <c r="V10" s="21">
        <v>8206</v>
      </c>
      <c r="W10" s="19">
        <v>8221</v>
      </c>
      <c r="X10" s="19">
        <v>8189</v>
      </c>
      <c r="Y10" s="19">
        <v>8156</v>
      </c>
      <c r="Z10" s="21">
        <v>8126</v>
      </c>
      <c r="AA10" s="19">
        <v>8069</v>
      </c>
      <c r="AB10" s="19">
        <v>8000</v>
      </c>
      <c r="AC10" s="19">
        <v>7929</v>
      </c>
      <c r="AD10" s="21">
        <v>7862</v>
      </c>
      <c r="AE10" s="19">
        <v>7824</v>
      </c>
      <c r="AF10" s="143">
        <v>7837</v>
      </c>
      <c r="AG10" s="143">
        <v>7817</v>
      </c>
      <c r="AH10" s="21">
        <v>7849</v>
      </c>
      <c r="AI10" s="19">
        <v>7869</v>
      </c>
      <c r="AJ10" s="19">
        <v>7856</v>
      </c>
      <c r="AK10" s="19">
        <v>7813</v>
      </c>
      <c r="AL10" s="21">
        <v>7804</v>
      </c>
      <c r="AM10" s="19">
        <v>7873</v>
      </c>
      <c r="AN10" s="19">
        <v>7821</v>
      </c>
      <c r="AO10" s="19">
        <v>7669</v>
      </c>
      <c r="AP10" s="21">
        <v>7611</v>
      </c>
      <c r="AQ10" s="19">
        <v>7624</v>
      </c>
    </row>
    <row r="11" spans="1:43" s="9" customFormat="1" ht="12.75">
      <c r="A11" s="38" t="s">
        <v>168</v>
      </c>
      <c r="B11" s="21">
        <v>7104.140625000001</v>
      </c>
      <c r="C11" s="19">
        <v>7192.220312500001</v>
      </c>
      <c r="D11" s="19">
        <v>7349.8396875</v>
      </c>
      <c r="E11" s="19">
        <v>7573.714375</v>
      </c>
      <c r="F11" s="21">
        <v>7726.4868750000005</v>
      </c>
      <c r="G11" s="19">
        <v>7900.714375</v>
      </c>
      <c r="H11" s="19">
        <v>7920.786250000001</v>
      </c>
      <c r="I11" s="22">
        <v>8051.361250000001</v>
      </c>
      <c r="J11" s="21">
        <v>7981.433125</v>
      </c>
      <c r="K11" s="19">
        <v>7828.912499999999</v>
      </c>
      <c r="L11" s="19">
        <v>7720.5540625</v>
      </c>
      <c r="M11" s="22">
        <v>7687.373125</v>
      </c>
      <c r="N11" s="21">
        <v>7704.325108695652</v>
      </c>
      <c r="O11" s="19">
        <v>7800.4464285714275</v>
      </c>
      <c r="P11" s="19">
        <v>7989.255397727273</v>
      </c>
      <c r="Q11" s="22">
        <v>7920.847826086957</v>
      </c>
      <c r="R11" s="21">
        <v>7979.235</v>
      </c>
      <c r="S11" s="19">
        <v>7968.563</v>
      </c>
      <c r="T11" s="19">
        <v>7839.4529999999995</v>
      </c>
      <c r="U11" s="22">
        <v>8003.424</v>
      </c>
      <c r="V11" s="21">
        <v>8057.441</v>
      </c>
      <c r="W11" s="19">
        <v>8068.018</v>
      </c>
      <c r="X11" s="19">
        <v>8033.593</v>
      </c>
      <c r="Y11" s="19">
        <v>7988.105</v>
      </c>
      <c r="Z11" s="21">
        <v>7962.865</v>
      </c>
      <c r="AA11" s="19">
        <v>7948.63</v>
      </c>
      <c r="AB11" s="19">
        <v>7894.610000000001</v>
      </c>
      <c r="AC11" s="19">
        <v>7825.345</v>
      </c>
      <c r="AD11" s="21">
        <v>7759.952380952381</v>
      </c>
      <c r="AE11" s="19">
        <v>7767.900000000001</v>
      </c>
      <c r="AF11" s="143">
        <v>7779.450000000002</v>
      </c>
      <c r="AG11" s="143">
        <v>7767.535</v>
      </c>
      <c r="AH11" s="21">
        <v>7803.950000000001</v>
      </c>
      <c r="AI11" s="19">
        <v>7817.745</v>
      </c>
      <c r="AJ11" s="19">
        <v>7810.30840909091</v>
      </c>
      <c r="AK11" s="19">
        <v>7771.28096590909</v>
      </c>
      <c r="AL11" s="21">
        <v>7756.664772727273</v>
      </c>
      <c r="AM11" s="19">
        <v>7824.955681818183</v>
      </c>
      <c r="AN11" s="19">
        <v>7776.0425</v>
      </c>
      <c r="AO11" s="19">
        <v>7618.655000000001</v>
      </c>
      <c r="AP11" s="21">
        <v>7563</v>
      </c>
      <c r="AQ11" s="19">
        <v>7580.2</v>
      </c>
    </row>
    <row r="12" spans="1:43" s="7" customFormat="1" ht="12.75">
      <c r="A12" s="38"/>
      <c r="B12" s="21"/>
      <c r="C12" s="19"/>
      <c r="D12" s="19"/>
      <c r="E12" s="19"/>
      <c r="F12" s="21"/>
      <c r="G12" s="19"/>
      <c r="H12" s="19"/>
      <c r="I12" s="22"/>
      <c r="J12" s="21"/>
      <c r="K12" s="19"/>
      <c r="L12" s="19"/>
      <c r="M12" s="22"/>
      <c r="N12" s="21"/>
      <c r="O12" s="19"/>
      <c r="P12" s="19"/>
      <c r="Q12" s="22"/>
      <c r="R12" s="21"/>
      <c r="S12" s="19"/>
      <c r="T12" s="19"/>
      <c r="U12" s="22"/>
      <c r="V12" s="21"/>
      <c r="W12" s="19"/>
      <c r="X12" s="19"/>
      <c r="Y12" s="19"/>
      <c r="Z12" s="21"/>
      <c r="AA12" s="19"/>
      <c r="AB12" s="19"/>
      <c r="AC12" s="19"/>
      <c r="AD12" s="21"/>
      <c r="AE12" s="19"/>
      <c r="AF12" s="19"/>
      <c r="AG12" s="19"/>
      <c r="AH12" s="21"/>
      <c r="AI12" s="19"/>
      <c r="AJ12" s="19"/>
      <c r="AK12" s="19"/>
      <c r="AL12" s="21"/>
      <c r="AM12" s="19"/>
      <c r="AN12" s="19"/>
      <c r="AO12" s="19"/>
      <c r="AP12" s="21"/>
      <c r="AQ12" s="19"/>
    </row>
    <row r="13" spans="1:43" s="9" customFormat="1" ht="12.75">
      <c r="A13" s="88" t="s">
        <v>170</v>
      </c>
      <c r="B13" s="21">
        <v>350</v>
      </c>
      <c r="C13" s="19">
        <v>361</v>
      </c>
      <c r="D13" s="19">
        <v>375</v>
      </c>
      <c r="E13" s="19">
        <v>404</v>
      </c>
      <c r="F13" s="21">
        <v>415</v>
      </c>
      <c r="G13" s="19">
        <v>430</v>
      </c>
      <c r="H13" s="19">
        <v>432</v>
      </c>
      <c r="I13" s="22">
        <v>439</v>
      </c>
      <c r="J13" s="21">
        <v>439</v>
      </c>
      <c r="K13" s="19">
        <v>438</v>
      </c>
      <c r="L13" s="19">
        <v>438</v>
      </c>
      <c r="M13" s="22">
        <v>441</v>
      </c>
      <c r="N13" s="21">
        <v>441</v>
      </c>
      <c r="O13" s="19">
        <v>442</v>
      </c>
      <c r="P13" s="19">
        <v>441</v>
      </c>
      <c r="Q13" s="22">
        <v>443</v>
      </c>
      <c r="R13" s="21">
        <v>445</v>
      </c>
      <c r="S13" s="19">
        <v>443</v>
      </c>
      <c r="T13" s="19">
        <v>441</v>
      </c>
      <c r="U13" s="22">
        <v>439</v>
      </c>
      <c r="V13" s="21">
        <v>438</v>
      </c>
      <c r="W13" s="19">
        <v>437</v>
      </c>
      <c r="X13" s="19">
        <v>432</v>
      </c>
      <c r="Y13" s="19">
        <v>426</v>
      </c>
      <c r="Z13" s="21">
        <v>423</v>
      </c>
      <c r="AA13" s="19">
        <v>421</v>
      </c>
      <c r="AB13" s="19">
        <v>421</v>
      </c>
      <c r="AC13" s="19">
        <v>417</v>
      </c>
      <c r="AD13" s="21">
        <v>412</v>
      </c>
      <c r="AE13" s="19">
        <v>409</v>
      </c>
      <c r="AF13" s="19">
        <v>407</v>
      </c>
      <c r="AG13" s="19">
        <v>401</v>
      </c>
      <c r="AH13" s="21">
        <v>401</v>
      </c>
      <c r="AI13" s="19">
        <v>399</v>
      </c>
      <c r="AJ13" s="19">
        <v>398</v>
      </c>
      <c r="AK13" s="19">
        <v>395</v>
      </c>
      <c r="AL13" s="21">
        <v>394</v>
      </c>
      <c r="AM13" s="19">
        <v>391</v>
      </c>
      <c r="AN13" s="19">
        <v>386</v>
      </c>
      <c r="AO13" s="19">
        <v>384</v>
      </c>
      <c r="AP13" s="21">
        <v>381</v>
      </c>
      <c r="AQ13" s="143">
        <v>374</v>
      </c>
    </row>
    <row r="14" spans="1:43" s="9" customFormat="1" ht="12.75">
      <c r="A14" s="38"/>
      <c r="B14" s="21"/>
      <c r="C14" s="19"/>
      <c r="D14" s="19"/>
      <c r="E14" s="19"/>
      <c r="F14" s="21"/>
      <c r="G14" s="19"/>
      <c r="H14" s="19"/>
      <c r="I14" s="22"/>
      <c r="J14" s="21"/>
      <c r="K14" s="19"/>
      <c r="L14" s="19"/>
      <c r="M14" s="22"/>
      <c r="N14" s="21"/>
      <c r="O14" s="19"/>
      <c r="P14" s="19"/>
      <c r="Q14" s="22"/>
      <c r="R14" s="21"/>
      <c r="S14" s="19"/>
      <c r="T14" s="19"/>
      <c r="U14" s="22"/>
      <c r="V14" s="21"/>
      <c r="W14" s="19"/>
      <c r="X14" s="19"/>
      <c r="Y14" s="19"/>
      <c r="Z14" s="21"/>
      <c r="AA14" s="19"/>
      <c r="AB14" s="19"/>
      <c r="AC14" s="19"/>
      <c r="AD14" s="21"/>
      <c r="AE14" s="19"/>
      <c r="AF14" s="19"/>
      <c r="AG14" s="19"/>
      <c r="AH14" s="21"/>
      <c r="AI14" s="19"/>
      <c r="AJ14" s="19"/>
      <c r="AK14" s="19"/>
      <c r="AL14" s="21"/>
      <c r="AM14" s="19"/>
      <c r="AN14" s="19"/>
      <c r="AO14" s="19"/>
      <c r="AP14" s="21"/>
      <c r="AQ14" s="19"/>
    </row>
    <row r="15" spans="1:43" s="9" customFormat="1" ht="12.75">
      <c r="A15" s="88" t="s">
        <v>171</v>
      </c>
      <c r="B15" s="31"/>
      <c r="C15" s="32"/>
      <c r="D15" s="32"/>
      <c r="E15" s="32"/>
      <c r="F15" s="31"/>
      <c r="G15" s="32"/>
      <c r="H15" s="32"/>
      <c r="I15" s="33"/>
      <c r="J15" s="31"/>
      <c r="K15" s="32"/>
      <c r="L15" s="32"/>
      <c r="M15" s="33"/>
      <c r="N15" s="31"/>
      <c r="O15" s="32"/>
      <c r="P15" s="32"/>
      <c r="Q15" s="33"/>
      <c r="R15" s="31"/>
      <c r="S15" s="32"/>
      <c r="T15" s="32"/>
      <c r="U15" s="33"/>
      <c r="V15" s="31"/>
      <c r="W15" s="32"/>
      <c r="X15" s="32"/>
      <c r="Y15" s="32"/>
      <c r="Z15" s="31"/>
      <c r="AA15" s="32"/>
      <c r="AB15" s="32"/>
      <c r="AC15" s="32"/>
      <c r="AD15" s="31"/>
      <c r="AE15" s="32"/>
      <c r="AF15" s="32"/>
      <c r="AG15" s="32"/>
      <c r="AH15" s="31"/>
      <c r="AI15" s="32"/>
      <c r="AJ15" s="32"/>
      <c r="AK15" s="32"/>
      <c r="AL15" s="31"/>
      <c r="AM15" s="32"/>
      <c r="AN15" s="32"/>
      <c r="AO15" s="32"/>
      <c r="AP15" s="31"/>
      <c r="AQ15" s="32"/>
    </row>
    <row r="16" spans="1:43" s="9" customFormat="1" ht="12.75">
      <c r="A16" s="38" t="s">
        <v>172</v>
      </c>
      <c r="B16" s="142">
        <f>SUM(B17:B19)</f>
        <v>1572</v>
      </c>
      <c r="C16" s="143">
        <f aca="true" t="shared" si="0" ref="C16:W16">SUM(C17:C19)</f>
        <v>1619</v>
      </c>
      <c r="D16" s="143">
        <f t="shared" si="0"/>
        <v>1688</v>
      </c>
      <c r="E16" s="19">
        <f t="shared" si="0"/>
        <v>1777</v>
      </c>
      <c r="F16" s="21">
        <f t="shared" si="0"/>
        <v>1825</v>
      </c>
      <c r="G16" s="19">
        <f t="shared" si="0"/>
        <v>1904</v>
      </c>
      <c r="H16" s="19">
        <f t="shared" si="0"/>
        <v>1983</v>
      </c>
      <c r="I16" s="22">
        <f t="shared" si="0"/>
        <v>2003</v>
      </c>
      <c r="J16" s="21">
        <f t="shared" si="0"/>
        <v>2033</v>
      </c>
      <c r="K16" s="19">
        <f t="shared" si="0"/>
        <v>2056</v>
      </c>
      <c r="L16" s="19">
        <f t="shared" si="0"/>
        <v>2086</v>
      </c>
      <c r="M16" s="22">
        <f t="shared" si="0"/>
        <v>2082</v>
      </c>
      <c r="N16" s="21">
        <f t="shared" si="0"/>
        <v>2122</v>
      </c>
      <c r="O16" s="143">
        <f t="shared" si="0"/>
        <v>2166</v>
      </c>
      <c r="P16" s="19">
        <f t="shared" si="0"/>
        <v>2226</v>
      </c>
      <c r="Q16" s="22">
        <f t="shared" si="0"/>
        <v>2267</v>
      </c>
      <c r="R16" s="21">
        <f t="shared" si="0"/>
        <v>2300</v>
      </c>
      <c r="S16" s="19">
        <f t="shared" si="0"/>
        <v>2350</v>
      </c>
      <c r="T16" s="19">
        <f t="shared" si="0"/>
        <v>2375</v>
      </c>
      <c r="U16" s="22">
        <f t="shared" si="0"/>
        <v>2386</v>
      </c>
      <c r="V16" s="21">
        <f t="shared" si="0"/>
        <v>2405</v>
      </c>
      <c r="W16" s="19">
        <f t="shared" si="0"/>
        <v>2413</v>
      </c>
      <c r="X16" s="19">
        <f>SUM(X17:X19)</f>
        <v>2456</v>
      </c>
      <c r="Y16" s="19">
        <f>SUM(Y17:Y19)</f>
        <v>2437</v>
      </c>
      <c r="Z16" s="21">
        <f>SUM(Z17:Z19)</f>
        <v>2447</v>
      </c>
      <c r="AA16" s="19">
        <f>SUM(AA17:AA19)</f>
        <v>2690</v>
      </c>
      <c r="AB16" s="19">
        <f>SUM(AB17:AB19)</f>
        <v>2820</v>
      </c>
      <c r="AC16" s="19">
        <v>2562</v>
      </c>
      <c r="AD16" s="21">
        <v>2568</v>
      </c>
      <c r="AE16" s="19">
        <v>2606</v>
      </c>
      <c r="AF16" s="19">
        <v>2667</v>
      </c>
      <c r="AG16" s="19">
        <v>2731</v>
      </c>
      <c r="AH16" s="21">
        <v>2806</v>
      </c>
      <c r="AI16" s="19">
        <v>2877</v>
      </c>
      <c r="AJ16" s="19">
        <v>2949</v>
      </c>
      <c r="AK16" s="19">
        <v>3003</v>
      </c>
      <c r="AL16" s="21">
        <v>3038</v>
      </c>
      <c r="AM16" s="19">
        <v>3093</v>
      </c>
      <c r="AN16" s="19">
        <v>3140</v>
      </c>
      <c r="AO16" s="19">
        <v>3160</v>
      </c>
      <c r="AP16" s="21">
        <v>3251</v>
      </c>
      <c r="AQ16" s="143">
        <v>3292</v>
      </c>
    </row>
    <row r="17" spans="1:43" s="9" customFormat="1" ht="12.75">
      <c r="A17" s="38" t="s">
        <v>173</v>
      </c>
      <c r="B17" s="142">
        <v>1264</v>
      </c>
      <c r="C17" s="143">
        <v>1301</v>
      </c>
      <c r="D17" s="143">
        <v>1334</v>
      </c>
      <c r="E17" s="19">
        <v>1397</v>
      </c>
      <c r="F17" s="21">
        <v>1441</v>
      </c>
      <c r="G17" s="19">
        <v>1509</v>
      </c>
      <c r="H17" s="19">
        <v>1583</v>
      </c>
      <c r="I17" s="22">
        <v>1625</v>
      </c>
      <c r="J17" s="21">
        <v>1671</v>
      </c>
      <c r="K17" s="19">
        <v>1703</v>
      </c>
      <c r="L17" s="19">
        <v>1746</v>
      </c>
      <c r="M17" s="22">
        <v>1758</v>
      </c>
      <c r="N17" s="21">
        <v>1809</v>
      </c>
      <c r="O17" s="143">
        <v>1861</v>
      </c>
      <c r="P17" s="19">
        <v>1934</v>
      </c>
      <c r="Q17" s="22">
        <v>1987</v>
      </c>
      <c r="R17" s="21">
        <v>2020</v>
      </c>
      <c r="S17" s="19">
        <v>2075</v>
      </c>
      <c r="T17" s="19">
        <v>2102</v>
      </c>
      <c r="U17" s="22">
        <v>2116</v>
      </c>
      <c r="V17" s="21">
        <v>2132</v>
      </c>
      <c r="W17" s="143">
        <v>2144</v>
      </c>
      <c r="X17" s="19">
        <v>2188</v>
      </c>
      <c r="Y17" s="19">
        <v>2144</v>
      </c>
      <c r="Z17" s="21">
        <v>2155</v>
      </c>
      <c r="AA17" s="143">
        <v>2401</v>
      </c>
      <c r="AB17" s="19">
        <v>2532</v>
      </c>
      <c r="AC17" s="19">
        <v>2271</v>
      </c>
      <c r="AD17" s="21">
        <v>2277</v>
      </c>
      <c r="AE17" s="143">
        <v>2311</v>
      </c>
      <c r="AF17" s="143">
        <v>2369</v>
      </c>
      <c r="AG17" s="143">
        <v>2431</v>
      </c>
      <c r="AH17" s="21">
        <v>2501</v>
      </c>
      <c r="AI17" s="143">
        <v>2567</v>
      </c>
      <c r="AJ17" s="143">
        <v>2636</v>
      </c>
      <c r="AK17" s="143">
        <v>2685</v>
      </c>
      <c r="AL17" s="21">
        <v>2722</v>
      </c>
      <c r="AM17" s="143">
        <v>2775</v>
      </c>
      <c r="AN17" s="143">
        <v>2818</v>
      </c>
      <c r="AO17" s="143">
        <v>2832</v>
      </c>
      <c r="AP17" s="21">
        <v>2917</v>
      </c>
      <c r="AQ17" s="143">
        <v>2952</v>
      </c>
    </row>
    <row r="18" spans="1:43" s="9" customFormat="1" ht="12.75">
      <c r="A18" s="38" t="s">
        <v>174</v>
      </c>
      <c r="B18" s="142">
        <v>153</v>
      </c>
      <c r="C18" s="143">
        <v>185</v>
      </c>
      <c r="D18" s="143">
        <v>220</v>
      </c>
      <c r="E18" s="19">
        <v>261</v>
      </c>
      <c r="F18" s="21">
        <v>267</v>
      </c>
      <c r="G18" s="19">
        <v>274</v>
      </c>
      <c r="H18" s="19">
        <v>277</v>
      </c>
      <c r="I18" s="22">
        <v>278</v>
      </c>
      <c r="J18" s="21">
        <v>273</v>
      </c>
      <c r="K18" s="19">
        <v>265</v>
      </c>
      <c r="L18" s="19">
        <v>259</v>
      </c>
      <c r="M18" s="22">
        <v>254</v>
      </c>
      <c r="N18" s="21">
        <v>246</v>
      </c>
      <c r="O18" s="143">
        <v>248</v>
      </c>
      <c r="P18" s="19">
        <v>237</v>
      </c>
      <c r="Q18" s="22">
        <v>231</v>
      </c>
      <c r="R18" s="21">
        <v>226</v>
      </c>
      <c r="S18" s="19">
        <v>221</v>
      </c>
      <c r="T18" s="19">
        <v>216</v>
      </c>
      <c r="U18" s="22">
        <v>211</v>
      </c>
      <c r="V18" s="21">
        <v>211</v>
      </c>
      <c r="W18" s="143">
        <v>205</v>
      </c>
      <c r="X18" s="19">
        <v>202</v>
      </c>
      <c r="Y18" s="19">
        <v>201</v>
      </c>
      <c r="Z18" s="21">
        <v>199</v>
      </c>
      <c r="AA18" s="143">
        <v>199</v>
      </c>
      <c r="AB18" s="19">
        <v>200</v>
      </c>
      <c r="AC18" s="19">
        <v>200</v>
      </c>
      <c r="AD18" s="21">
        <v>200</v>
      </c>
      <c r="AE18" s="143">
        <v>203</v>
      </c>
      <c r="AF18" s="143">
        <v>205</v>
      </c>
      <c r="AG18" s="143">
        <v>206</v>
      </c>
      <c r="AH18" s="21">
        <v>206</v>
      </c>
      <c r="AI18" s="143">
        <v>208</v>
      </c>
      <c r="AJ18" s="143">
        <v>210</v>
      </c>
      <c r="AK18" s="143">
        <v>211</v>
      </c>
      <c r="AL18" s="21">
        <v>212</v>
      </c>
      <c r="AM18" s="143">
        <v>214</v>
      </c>
      <c r="AN18" s="143">
        <v>217</v>
      </c>
      <c r="AO18" s="143">
        <v>218</v>
      </c>
      <c r="AP18" s="21">
        <v>219</v>
      </c>
      <c r="AQ18" s="143">
        <v>221</v>
      </c>
    </row>
    <row r="19" spans="1:43" s="9" customFormat="1" ht="12.75">
      <c r="A19" s="38" t="s">
        <v>175</v>
      </c>
      <c r="B19" s="142">
        <v>155</v>
      </c>
      <c r="C19" s="143">
        <v>133</v>
      </c>
      <c r="D19" s="143">
        <v>134</v>
      </c>
      <c r="E19" s="19">
        <v>119</v>
      </c>
      <c r="F19" s="21">
        <v>117</v>
      </c>
      <c r="G19" s="19">
        <v>121</v>
      </c>
      <c r="H19" s="19">
        <v>123</v>
      </c>
      <c r="I19" s="22">
        <v>100</v>
      </c>
      <c r="J19" s="21">
        <v>89</v>
      </c>
      <c r="K19" s="19">
        <v>88</v>
      </c>
      <c r="L19" s="19">
        <v>81</v>
      </c>
      <c r="M19" s="22">
        <v>70</v>
      </c>
      <c r="N19" s="21">
        <v>67</v>
      </c>
      <c r="O19" s="143">
        <v>57</v>
      </c>
      <c r="P19" s="19">
        <v>55</v>
      </c>
      <c r="Q19" s="22">
        <v>49</v>
      </c>
      <c r="R19" s="21">
        <v>54</v>
      </c>
      <c r="S19" s="19">
        <v>54</v>
      </c>
      <c r="T19" s="19">
        <v>57</v>
      </c>
      <c r="U19" s="22">
        <v>59</v>
      </c>
      <c r="V19" s="21">
        <v>62</v>
      </c>
      <c r="W19" s="143">
        <v>64</v>
      </c>
      <c r="X19" s="19">
        <v>66</v>
      </c>
      <c r="Y19" s="19">
        <v>92</v>
      </c>
      <c r="Z19" s="21">
        <v>93</v>
      </c>
      <c r="AA19" s="143">
        <v>90</v>
      </c>
      <c r="AB19" s="19">
        <v>88</v>
      </c>
      <c r="AC19" s="19">
        <v>91</v>
      </c>
      <c r="AD19" s="21">
        <v>91</v>
      </c>
      <c r="AE19" s="143">
        <v>92</v>
      </c>
      <c r="AF19" s="143">
        <v>93</v>
      </c>
      <c r="AG19" s="143">
        <v>94</v>
      </c>
      <c r="AH19" s="21">
        <v>99</v>
      </c>
      <c r="AI19" s="143">
        <v>102</v>
      </c>
      <c r="AJ19" s="143">
        <v>103</v>
      </c>
      <c r="AK19" s="143">
        <v>107</v>
      </c>
      <c r="AL19" s="21">
        <v>104</v>
      </c>
      <c r="AM19" s="143">
        <v>104</v>
      </c>
      <c r="AN19" s="143">
        <v>105</v>
      </c>
      <c r="AO19" s="143">
        <v>110</v>
      </c>
      <c r="AP19" s="21">
        <v>115</v>
      </c>
      <c r="AQ19" s="143">
        <v>119</v>
      </c>
    </row>
  </sheetData>
  <sheetProtection/>
  <mergeCells count="12">
    <mergeCell ref="AP2:AQ2"/>
    <mergeCell ref="AH2:AK2"/>
    <mergeCell ref="R2:U2"/>
    <mergeCell ref="A2:A3"/>
    <mergeCell ref="B2:E2"/>
    <mergeCell ref="F2:I2"/>
    <mergeCell ref="J2:M2"/>
    <mergeCell ref="AL2:AO2"/>
    <mergeCell ref="N2:Q2"/>
    <mergeCell ref="AD2:AG2"/>
    <mergeCell ref="Z2:AC2"/>
    <mergeCell ref="V2:Y2"/>
  </mergeCells>
  <printOptions horizontalCentered="1"/>
  <pageMargins left="0.2362204724409449" right="0.2362204724409449" top="0.7480314960629921" bottom="0.7480314960629921" header="0.31496062992125984" footer="0.31496062992125984"/>
  <pageSetup horizontalDpi="600" verticalDpi="600" orientation="landscape" paperSize="9" scale="53" r:id="rId1"/>
  <headerFooter alignWithMargins="0">
    <oddHeader>&amp;C&amp;"Times New Roman,Kursywa"&amp;12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Q79"/>
  <sheetViews>
    <sheetView showGridLines="0" view="pageBreakPreview" zoomScaleSheetLayoutView="100" zoomScalePageLayoutView="80" workbookViewId="0" topLeftCell="A1">
      <pane xSplit="1" ySplit="3" topLeftCell="R4" activePane="bottomRight" state="frozen"/>
      <selection pane="topLeft" activeCell="B1" sqref="B1"/>
      <selection pane="topRight" activeCell="B1" sqref="B1"/>
      <selection pane="bottomLeft" activeCell="B1" sqref="B1"/>
      <selection pane="bottomRight" activeCell="A2" sqref="A2:A3"/>
    </sheetView>
  </sheetViews>
  <sheetFormatPr defaultColWidth="8.875" defaultRowHeight="12.75"/>
  <cols>
    <col min="1" max="1" width="59.125" style="1" customWidth="1"/>
    <col min="2" max="2" width="5.625" style="3" customWidth="1"/>
    <col min="3" max="8" width="4.875" style="3" customWidth="1"/>
    <col min="9" max="9" width="5.375" style="3" customWidth="1"/>
    <col min="10" max="29" width="4.875" style="3" customWidth="1"/>
    <col min="30" max="30" width="6.125" style="3" bestFit="1" customWidth="1"/>
    <col min="31" max="31" width="5.75390625" style="3" bestFit="1" customWidth="1"/>
    <col min="32" max="32" width="5.00390625" style="3" customWidth="1"/>
    <col min="33" max="34" width="5.75390625" style="3" bestFit="1" customWidth="1"/>
    <col min="35" max="35" width="5.375" style="3" customWidth="1"/>
    <col min="36" max="36" width="5.75390625" style="3" bestFit="1" customWidth="1"/>
    <col min="37" max="37" width="5.125" style="3" customWidth="1"/>
    <col min="38" max="38" width="5.75390625" style="3" bestFit="1" customWidth="1"/>
    <col min="39" max="39" width="6.875" style="3" customWidth="1"/>
    <col min="40" max="40" width="7.125" style="3" customWidth="1"/>
    <col min="41" max="41" width="6.75390625" style="3" customWidth="1"/>
    <col min="42" max="42" width="6.625" style="3" customWidth="1"/>
    <col min="43" max="43" width="7.00390625" style="3" customWidth="1"/>
    <col min="44" max="16384" width="8.875" style="3" customWidth="1"/>
  </cols>
  <sheetData>
    <row r="1" spans="1:38" ht="12.75">
      <c r="A1" s="316" t="s">
        <v>357</v>
      </c>
      <c r="AG1" s="96"/>
      <c r="AH1" s="96"/>
      <c r="AL1" s="96"/>
    </row>
    <row r="2" spans="1:43" ht="12.75" customHeight="1">
      <c r="A2" s="332" t="s">
        <v>4</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5"/>
      <c r="Z2" s="334">
        <v>2013</v>
      </c>
      <c r="AA2" s="335"/>
      <c r="AB2" s="335"/>
      <c r="AC2" s="335"/>
      <c r="AD2" s="334">
        <v>2014</v>
      </c>
      <c r="AE2" s="335"/>
      <c r="AF2" s="335"/>
      <c r="AG2" s="335"/>
      <c r="AH2" s="334">
        <v>2015</v>
      </c>
      <c r="AI2" s="335"/>
      <c r="AJ2" s="335"/>
      <c r="AK2" s="335"/>
      <c r="AL2" s="334">
        <v>2016</v>
      </c>
      <c r="AM2" s="335"/>
      <c r="AN2" s="335"/>
      <c r="AO2" s="335"/>
      <c r="AP2" s="338">
        <v>2017</v>
      </c>
      <c r="AQ2" s="339"/>
    </row>
    <row r="3" spans="1:43" s="4" customFormat="1" ht="25.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c r="AO3" s="35" t="s">
        <v>3</v>
      </c>
      <c r="AP3" s="34" t="s">
        <v>0</v>
      </c>
      <c r="AQ3" s="35" t="s">
        <v>1</v>
      </c>
    </row>
    <row r="4" spans="1:42"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279"/>
      <c r="AH4" s="279"/>
      <c r="AL4" s="279"/>
      <c r="AP4" s="279"/>
    </row>
    <row r="5" spans="1:43" s="7" customFormat="1" ht="12.75">
      <c r="A5" s="38" t="s">
        <v>6</v>
      </c>
      <c r="B5" s="39">
        <v>556</v>
      </c>
      <c r="C5" s="40">
        <v>586.0000000000001</v>
      </c>
      <c r="D5" s="40">
        <v>618.3</v>
      </c>
      <c r="E5" s="40">
        <v>673.3</v>
      </c>
      <c r="F5" s="39">
        <v>750.5</v>
      </c>
      <c r="G5" s="40">
        <v>855.3</v>
      </c>
      <c r="H5" s="40">
        <v>910.1</v>
      </c>
      <c r="I5" s="41">
        <v>982.8</v>
      </c>
      <c r="J5" s="67">
        <v>860.8</v>
      </c>
      <c r="K5" s="40">
        <v>773.3</v>
      </c>
      <c r="L5" s="40">
        <v>732.1</v>
      </c>
      <c r="M5" s="41">
        <v>711.5</v>
      </c>
      <c r="N5" s="39">
        <v>726.8</v>
      </c>
      <c r="O5" s="40">
        <v>723.1</v>
      </c>
      <c r="P5" s="40">
        <v>747.3</v>
      </c>
      <c r="Q5" s="41">
        <v>751.5</v>
      </c>
      <c r="R5" s="39">
        <v>772.6</v>
      </c>
      <c r="S5" s="40">
        <v>833.6</v>
      </c>
      <c r="T5" s="40">
        <v>882.3</v>
      </c>
      <c r="U5" s="41">
        <v>897</v>
      </c>
      <c r="V5" s="39">
        <v>945.2</v>
      </c>
      <c r="W5" s="40">
        <v>945.2</v>
      </c>
      <c r="X5" s="40">
        <v>963.1999999999998</v>
      </c>
      <c r="Y5" s="41">
        <v>977.9</v>
      </c>
      <c r="Z5" s="39">
        <v>925.1</v>
      </c>
      <c r="AA5" s="40">
        <v>902.8</v>
      </c>
      <c r="AB5" s="40">
        <v>895.4000000000001</v>
      </c>
      <c r="AC5" s="41">
        <v>891.4</v>
      </c>
      <c r="AD5" s="39">
        <v>903.8</v>
      </c>
      <c r="AE5" s="40">
        <v>932.6</v>
      </c>
      <c r="AF5" s="40">
        <v>962.2</v>
      </c>
      <c r="AG5" s="41">
        <v>925.9</v>
      </c>
      <c r="AH5" s="39">
        <v>887</v>
      </c>
      <c r="AI5" s="40">
        <v>878</v>
      </c>
      <c r="AJ5" s="40">
        <v>928.5</v>
      </c>
      <c r="AK5" s="41">
        <v>935.1</v>
      </c>
      <c r="AL5" s="39">
        <v>935</v>
      </c>
      <c r="AM5" s="40">
        <v>961.2</v>
      </c>
      <c r="AN5" s="40">
        <v>1010.5</v>
      </c>
      <c r="AO5" s="41">
        <v>1016.2</v>
      </c>
      <c r="AP5" s="39">
        <v>1025.3</v>
      </c>
      <c r="AQ5" s="40">
        <v>1060</v>
      </c>
    </row>
    <row r="6" spans="1:43" s="7" customFormat="1" ht="12.75">
      <c r="A6" s="87" t="s">
        <v>7</v>
      </c>
      <c r="B6" s="39">
        <f>320.1-0.2</f>
        <v>319.90000000000003</v>
      </c>
      <c r="C6" s="40">
        <v>339.1</v>
      </c>
      <c r="D6" s="40">
        <v>363.7</v>
      </c>
      <c r="E6" s="40">
        <v>410.09999999999997</v>
      </c>
      <c r="F6" s="39">
        <v>467.1</v>
      </c>
      <c r="G6" s="40">
        <v>539.5</v>
      </c>
      <c r="H6" s="40">
        <v>589.2</v>
      </c>
      <c r="I6" s="41">
        <v>650.3</v>
      </c>
      <c r="J6" s="39">
        <v>549.7</v>
      </c>
      <c r="K6" s="40">
        <v>414.3</v>
      </c>
      <c r="L6" s="40">
        <v>354.1</v>
      </c>
      <c r="M6" s="41">
        <v>357.1</v>
      </c>
      <c r="N6" s="39">
        <v>336.4</v>
      </c>
      <c r="O6" s="40">
        <v>317.8</v>
      </c>
      <c r="P6" s="40">
        <v>337.1</v>
      </c>
      <c r="Q6" s="41">
        <v>329.8</v>
      </c>
      <c r="R6" s="39">
        <v>337.7</v>
      </c>
      <c r="S6" s="40">
        <v>374.1</v>
      </c>
      <c r="T6" s="40">
        <v>404.9</v>
      </c>
      <c r="U6" s="41">
        <v>417.3</v>
      </c>
      <c r="V6" s="39">
        <v>431.7</v>
      </c>
      <c r="W6" s="40">
        <v>431.1</v>
      </c>
      <c r="X6" s="40">
        <v>447.70000000000005</v>
      </c>
      <c r="Y6" s="41">
        <v>472.1</v>
      </c>
      <c r="Z6" s="39">
        <v>449.3</v>
      </c>
      <c r="AA6" s="40">
        <v>407.5</v>
      </c>
      <c r="AB6" s="40">
        <v>369.29999999999995</v>
      </c>
      <c r="AC6" s="41">
        <v>346</v>
      </c>
      <c r="AD6" s="39">
        <v>335.9</v>
      </c>
      <c r="AE6" s="40">
        <v>350.4</v>
      </c>
      <c r="AF6" s="40">
        <v>365.3</v>
      </c>
      <c r="AG6" s="41">
        <v>342.7</v>
      </c>
      <c r="AH6" s="39">
        <v>318</v>
      </c>
      <c r="AI6" s="40">
        <v>283.9</v>
      </c>
      <c r="AJ6" s="40">
        <v>283.9</v>
      </c>
      <c r="AK6" s="41">
        <v>275.7</v>
      </c>
      <c r="AL6" s="39">
        <v>266.9</v>
      </c>
      <c r="AM6" s="40">
        <v>270.3</v>
      </c>
      <c r="AN6" s="40">
        <v>225.6</v>
      </c>
      <c r="AO6" s="41">
        <v>206.7</v>
      </c>
      <c r="AP6" s="39">
        <v>209.8</v>
      </c>
      <c r="AQ6" s="40">
        <v>210.7</v>
      </c>
    </row>
    <row r="7" spans="1:43" s="9" customFormat="1" ht="12.75">
      <c r="A7" s="88" t="s">
        <v>8</v>
      </c>
      <c r="B7" s="46">
        <f>B5-B6</f>
        <v>236.09999999999997</v>
      </c>
      <c r="C7" s="47">
        <f aca="true" t="shared" si="0" ref="C7:W7">C5-C6</f>
        <v>246.9000000000001</v>
      </c>
      <c r="D7" s="47">
        <f t="shared" si="0"/>
        <v>254.59999999999997</v>
      </c>
      <c r="E7" s="47">
        <f t="shared" si="0"/>
        <v>263.2</v>
      </c>
      <c r="F7" s="46">
        <f t="shared" si="0"/>
        <v>283.4</v>
      </c>
      <c r="G7" s="47">
        <f t="shared" si="0"/>
        <v>315.79999999999995</v>
      </c>
      <c r="H7" s="47">
        <f t="shared" si="0"/>
        <v>320.9</v>
      </c>
      <c r="I7" s="48">
        <f t="shared" si="0"/>
        <v>332.5</v>
      </c>
      <c r="J7" s="46">
        <f t="shared" si="0"/>
        <v>311.0999999999999</v>
      </c>
      <c r="K7" s="47">
        <f t="shared" si="0"/>
        <v>358.99999999999994</v>
      </c>
      <c r="L7" s="47">
        <f t="shared" si="0"/>
        <v>378</v>
      </c>
      <c r="M7" s="48">
        <f t="shared" si="0"/>
        <v>354.4</v>
      </c>
      <c r="N7" s="46">
        <f t="shared" si="0"/>
        <v>390.4</v>
      </c>
      <c r="O7" s="47">
        <f t="shared" si="0"/>
        <v>405.3</v>
      </c>
      <c r="P7" s="47">
        <f t="shared" si="0"/>
        <v>410.19999999999993</v>
      </c>
      <c r="Q7" s="48">
        <f t="shared" si="0"/>
        <v>421.7</v>
      </c>
      <c r="R7" s="46">
        <f t="shared" si="0"/>
        <v>434.90000000000003</v>
      </c>
      <c r="S7" s="47">
        <f t="shared" si="0"/>
        <v>459.5</v>
      </c>
      <c r="T7" s="47">
        <f t="shared" si="0"/>
        <v>477.4</v>
      </c>
      <c r="U7" s="48">
        <f t="shared" si="0"/>
        <v>479.7</v>
      </c>
      <c r="V7" s="46">
        <f t="shared" si="0"/>
        <v>513.5</v>
      </c>
      <c r="W7" s="47">
        <f t="shared" si="0"/>
        <v>514.1</v>
      </c>
      <c r="X7" s="47">
        <f aca="true" t="shared" si="1" ref="X7:AE7">X5-X6</f>
        <v>515.4999999999998</v>
      </c>
      <c r="Y7" s="48">
        <f t="shared" si="1"/>
        <v>505.79999999999995</v>
      </c>
      <c r="Z7" s="46">
        <f t="shared" si="1"/>
        <v>475.8</v>
      </c>
      <c r="AA7" s="47">
        <f t="shared" si="1"/>
        <v>495.29999999999995</v>
      </c>
      <c r="AB7" s="47">
        <f t="shared" si="1"/>
        <v>526.1000000000001</v>
      </c>
      <c r="AC7" s="48">
        <f t="shared" si="1"/>
        <v>545.4</v>
      </c>
      <c r="AD7" s="46">
        <f t="shared" si="1"/>
        <v>567.9</v>
      </c>
      <c r="AE7" s="47">
        <f t="shared" si="1"/>
        <v>582.2</v>
      </c>
      <c r="AF7" s="47">
        <f aca="true" t="shared" si="2" ref="AF7:AK7">AF5-AF6</f>
        <v>596.9000000000001</v>
      </c>
      <c r="AG7" s="47">
        <f t="shared" si="2"/>
        <v>583.2</v>
      </c>
      <c r="AH7" s="46">
        <f t="shared" si="2"/>
        <v>569</v>
      </c>
      <c r="AI7" s="47">
        <f t="shared" si="2"/>
        <v>594.1</v>
      </c>
      <c r="AJ7" s="47">
        <f t="shared" si="2"/>
        <v>644.6</v>
      </c>
      <c r="AK7" s="47">
        <f t="shared" si="2"/>
        <v>659.4000000000001</v>
      </c>
      <c r="AL7" s="46">
        <f aca="true" t="shared" si="3" ref="AL7:AQ7">AL5-AL6</f>
        <v>668.1</v>
      </c>
      <c r="AM7" s="47">
        <f t="shared" si="3"/>
        <v>690.9000000000001</v>
      </c>
      <c r="AN7" s="47">
        <f t="shared" si="3"/>
        <v>784.9</v>
      </c>
      <c r="AO7" s="47">
        <f t="shared" si="3"/>
        <v>809.5</v>
      </c>
      <c r="AP7" s="46">
        <f t="shared" si="3"/>
        <v>815.5</v>
      </c>
      <c r="AQ7" s="47">
        <f t="shared" si="3"/>
        <v>849.3</v>
      </c>
    </row>
    <row r="8" spans="1:43" s="7" customFormat="1" ht="12.75">
      <c r="A8" s="38" t="s">
        <v>9</v>
      </c>
      <c r="B8" s="39">
        <v>239</v>
      </c>
      <c r="C8" s="40">
        <v>248.50000000000003</v>
      </c>
      <c r="D8" s="40">
        <f>251.9-0.1</f>
        <v>251.8</v>
      </c>
      <c r="E8" s="40">
        <v>241.49999999999997</v>
      </c>
      <c r="F8" s="39">
        <v>228.79999999999998</v>
      </c>
      <c r="G8" s="40">
        <v>235.70000000000002</v>
      </c>
      <c r="H8" s="40">
        <v>244.7</v>
      </c>
      <c r="I8" s="41">
        <v>268.5</v>
      </c>
      <c r="J8" s="39">
        <f>256.1-0.1</f>
        <v>256</v>
      </c>
      <c r="K8" s="40">
        <f>275.3-0.7</f>
        <v>274.6</v>
      </c>
      <c r="L8" s="40">
        <f>278</f>
        <v>278</v>
      </c>
      <c r="M8" s="41">
        <f>275.7-0.2</f>
        <v>275.5</v>
      </c>
      <c r="N8" s="39">
        <f>264.1-0.1</f>
        <v>264</v>
      </c>
      <c r="O8" s="40">
        <f>277.6-0.1</f>
        <v>277.5</v>
      </c>
      <c r="P8" s="40">
        <f>287.2-0.4</f>
        <v>286.8</v>
      </c>
      <c r="Q8" s="41">
        <f>288.2-0.4</f>
        <v>287.8</v>
      </c>
      <c r="R8" s="39">
        <f>285.9-0.3</f>
        <v>285.59999999999997</v>
      </c>
      <c r="S8" s="40">
        <f>295.7-0.7</f>
        <v>295</v>
      </c>
      <c r="T8" s="40">
        <f>297.7-0.5</f>
        <v>297.2</v>
      </c>
      <c r="U8" s="41">
        <f>290.8-0.9</f>
        <v>289.90000000000003</v>
      </c>
      <c r="V8" s="39">
        <f>280.7-0.7-0.3</f>
        <v>279.7</v>
      </c>
      <c r="W8" s="40">
        <f>285.4-0.8-0.3</f>
        <v>284.29999999999995</v>
      </c>
      <c r="X8" s="40">
        <f>283.8-0.8-0.3</f>
        <v>282.7</v>
      </c>
      <c r="Y8" s="41">
        <f>292.6-1.6-0.3</f>
        <v>290.7</v>
      </c>
      <c r="Z8" s="39">
        <f>271.3-0.3-0.1-0.3</f>
        <v>270.59999999999997</v>
      </c>
      <c r="AA8" s="40">
        <f>294.2-0.5-10.3-0.2-0.1-0.3</f>
        <v>282.79999999999995</v>
      </c>
      <c r="AB8" s="40">
        <f>263.4-1.2+5.1-0.3-1-0.3</f>
        <v>265.7</v>
      </c>
      <c r="AC8" s="41">
        <f>292.2-0.5-1.8-0.3</f>
        <v>289.59999999999997</v>
      </c>
      <c r="AD8" s="39">
        <f>297.7-0.9-0.3</f>
        <v>296.5</v>
      </c>
      <c r="AE8" s="40">
        <f>305.8-0.2-0.3</f>
        <v>305.3</v>
      </c>
      <c r="AF8" s="40">
        <f>286.4-0.6-0.3</f>
        <v>285.49999999999994</v>
      </c>
      <c r="AG8" s="41">
        <f>280-0.3</f>
        <v>279.7</v>
      </c>
      <c r="AH8" s="39">
        <f>277-1.3</f>
        <v>275.7</v>
      </c>
      <c r="AI8" s="40">
        <f>291.3-0.3</f>
        <v>291</v>
      </c>
      <c r="AJ8" s="40">
        <f>279.8-0.3</f>
        <v>279.5</v>
      </c>
      <c r="AK8" s="41">
        <f>286.6-0.3</f>
        <v>286.3</v>
      </c>
      <c r="AL8" s="39">
        <f>285.6-1.7</f>
        <v>283.90000000000003</v>
      </c>
      <c r="AM8" s="40">
        <f>294.7-0.3</f>
        <v>294.4</v>
      </c>
      <c r="AN8" s="40">
        <f>303.1-0.3</f>
        <v>302.8</v>
      </c>
      <c r="AO8" s="41">
        <f>320.5-0.3</f>
        <v>320.2</v>
      </c>
      <c r="AP8" s="39">
        <v>324.1</v>
      </c>
      <c r="AQ8" s="40">
        <v>326.7</v>
      </c>
    </row>
    <row r="9" spans="1:43" s="7" customFormat="1" ht="12.75">
      <c r="A9" s="38" t="s">
        <v>10</v>
      </c>
      <c r="B9" s="39">
        <f>16.7-1</f>
        <v>15.7</v>
      </c>
      <c r="C9" s="40">
        <f>15.2-1</f>
        <v>14.2</v>
      </c>
      <c r="D9" s="40">
        <f>21.1-1</f>
        <v>20.1</v>
      </c>
      <c r="E9" s="40">
        <f>29-1</f>
        <v>28</v>
      </c>
      <c r="F9" s="39">
        <f>22.1-1.2</f>
        <v>20.900000000000002</v>
      </c>
      <c r="G9" s="40">
        <f>19.9-1.2</f>
        <v>18.7</v>
      </c>
      <c r="H9" s="40">
        <f>16.4-1.2</f>
        <v>15.2</v>
      </c>
      <c r="I9" s="41">
        <f>29.6-1.2</f>
        <v>28.400000000000002</v>
      </c>
      <c r="J9" s="39">
        <f>22.1-4.1-0.1</f>
        <v>17.9</v>
      </c>
      <c r="K9" s="40">
        <f>25.4-4.1-0.7</f>
        <v>20.599999999999998</v>
      </c>
      <c r="L9" s="40">
        <f>25-4.1</f>
        <v>20.9</v>
      </c>
      <c r="M9" s="41">
        <f>48.2-4.1-0.2</f>
        <v>43.9</v>
      </c>
      <c r="N9" s="39">
        <f>35.6-3.9-0.1</f>
        <v>31.6</v>
      </c>
      <c r="O9" s="40">
        <f>30.7-3.9-0.1</f>
        <v>26.7</v>
      </c>
      <c r="P9" s="40">
        <f>31.6-3.9-0.4</f>
        <v>27.300000000000004</v>
      </c>
      <c r="Q9" s="41">
        <f>31.9-3.9-0.4</f>
        <v>27.6</v>
      </c>
      <c r="R9" s="39">
        <f>34.5-9.1-0.3</f>
        <v>25.099999999999998</v>
      </c>
      <c r="S9" s="40">
        <f>37.3-9.1-0.7</f>
        <v>27.499999999999996</v>
      </c>
      <c r="T9" s="40">
        <f>36.3-9.1-0.5</f>
        <v>26.699999999999996</v>
      </c>
      <c r="U9" s="41">
        <f>40.8-9.1-0.9</f>
        <v>30.799999999999997</v>
      </c>
      <c r="V9" s="39">
        <f>33.7-11-0.7-0.3</f>
        <v>21.700000000000003</v>
      </c>
      <c r="W9" s="40">
        <f>35-11-0.8-0.3</f>
        <v>22.9</v>
      </c>
      <c r="X9" s="40">
        <f>32.6-11-0.8-0.3</f>
        <v>20.5</v>
      </c>
      <c r="Y9" s="41">
        <f>36.9-11-1.6-0.3</f>
        <v>23.999999999999996</v>
      </c>
      <c r="Z9" s="39">
        <f>31.5-11.3-0.3-0.1-0.3</f>
        <v>19.499999999999996</v>
      </c>
      <c r="AA9" s="40">
        <f>33.8-11.4-0.2-0.1-0.3</f>
        <v>21.799999999999997</v>
      </c>
      <c r="AB9" s="40">
        <f>33.6-11.3-0.3-1-0.3</f>
        <v>20.7</v>
      </c>
      <c r="AC9" s="41">
        <f>38.7-11.3-0.5-1.8-0.3</f>
        <v>24.8</v>
      </c>
      <c r="AD9" s="39">
        <f>21.6-0.9-0.3</f>
        <v>20.400000000000002</v>
      </c>
      <c r="AE9" s="40">
        <f>26.2-0.2-0.3</f>
        <v>25.7</v>
      </c>
      <c r="AF9" s="40">
        <f>28.1-0.6-0.3</f>
        <v>27.2</v>
      </c>
      <c r="AG9" s="41">
        <f>31.1-0.3</f>
        <v>30.8</v>
      </c>
      <c r="AH9" s="39">
        <f>27-1.3</f>
        <v>25.7</v>
      </c>
      <c r="AI9" s="40">
        <f>27.8-0.3</f>
        <v>27.5</v>
      </c>
      <c r="AJ9" s="40">
        <f>30.9-0.3</f>
        <v>30.599999999999998</v>
      </c>
      <c r="AK9" s="41">
        <f>31.8-0.3</f>
        <v>31.5</v>
      </c>
      <c r="AL9" s="39">
        <f>31.7-1.7</f>
        <v>30</v>
      </c>
      <c r="AM9" s="40">
        <f>36.6-0.3</f>
        <v>36.300000000000004</v>
      </c>
      <c r="AN9" s="40">
        <f>33.8-0.3</f>
        <v>33.5</v>
      </c>
      <c r="AO9" s="41">
        <f>37-0.3</f>
        <v>36.7</v>
      </c>
      <c r="AP9" s="39">
        <v>34.5</v>
      </c>
      <c r="AQ9" s="40">
        <v>35.4</v>
      </c>
    </row>
    <row r="10" spans="1:43" s="4" customFormat="1" ht="12.75">
      <c r="A10" s="88" t="s">
        <v>11</v>
      </c>
      <c r="B10" s="46">
        <f>B8-B9</f>
        <v>223.3</v>
      </c>
      <c r="C10" s="47">
        <f aca="true" t="shared" si="4" ref="C10:W10">C8-C9</f>
        <v>234.30000000000004</v>
      </c>
      <c r="D10" s="47">
        <f t="shared" si="4"/>
        <v>231.70000000000002</v>
      </c>
      <c r="E10" s="47">
        <f t="shared" si="4"/>
        <v>213.49999999999997</v>
      </c>
      <c r="F10" s="46">
        <f t="shared" si="4"/>
        <v>207.89999999999998</v>
      </c>
      <c r="G10" s="47">
        <f t="shared" si="4"/>
        <v>217.00000000000003</v>
      </c>
      <c r="H10" s="47">
        <f t="shared" si="4"/>
        <v>229.5</v>
      </c>
      <c r="I10" s="48">
        <f t="shared" si="4"/>
        <v>240.1</v>
      </c>
      <c r="J10" s="46">
        <f t="shared" si="4"/>
        <v>238.1</v>
      </c>
      <c r="K10" s="47">
        <f t="shared" si="4"/>
        <v>254.00000000000003</v>
      </c>
      <c r="L10" s="47">
        <f t="shared" si="4"/>
        <v>257.1</v>
      </c>
      <c r="M10" s="48">
        <f t="shared" si="4"/>
        <v>231.6</v>
      </c>
      <c r="N10" s="46">
        <f t="shared" si="4"/>
        <v>232.4</v>
      </c>
      <c r="O10" s="47">
        <f t="shared" si="4"/>
        <v>250.8</v>
      </c>
      <c r="P10" s="47">
        <f t="shared" si="4"/>
        <v>259.5</v>
      </c>
      <c r="Q10" s="48">
        <f t="shared" si="4"/>
        <v>260.2</v>
      </c>
      <c r="R10" s="46">
        <f t="shared" si="4"/>
        <v>260.49999999999994</v>
      </c>
      <c r="S10" s="47">
        <f t="shared" si="4"/>
        <v>267.5</v>
      </c>
      <c r="T10" s="47">
        <f t="shared" si="4"/>
        <v>270.5</v>
      </c>
      <c r="U10" s="48">
        <f t="shared" si="4"/>
        <v>259.1</v>
      </c>
      <c r="V10" s="46">
        <f t="shared" si="4"/>
        <v>258</v>
      </c>
      <c r="W10" s="47">
        <f t="shared" si="4"/>
        <v>261.4</v>
      </c>
      <c r="X10" s="47">
        <f aca="true" t="shared" si="5" ref="X10:AE10">X8-X9</f>
        <v>262.2</v>
      </c>
      <c r="Y10" s="48">
        <f t="shared" si="5"/>
        <v>266.7</v>
      </c>
      <c r="Z10" s="46">
        <f t="shared" si="5"/>
        <v>251.09999999999997</v>
      </c>
      <c r="AA10" s="47">
        <f t="shared" si="5"/>
        <v>260.99999999999994</v>
      </c>
      <c r="AB10" s="47">
        <f t="shared" si="5"/>
        <v>245</v>
      </c>
      <c r="AC10" s="48">
        <f t="shared" si="5"/>
        <v>264.79999999999995</v>
      </c>
      <c r="AD10" s="46">
        <f t="shared" si="5"/>
        <v>276.1</v>
      </c>
      <c r="AE10" s="47">
        <f t="shared" si="5"/>
        <v>279.6</v>
      </c>
      <c r="AF10" s="47">
        <f aca="true" t="shared" si="6" ref="AF10:AK10">AF8-AF9</f>
        <v>258.29999999999995</v>
      </c>
      <c r="AG10" s="47">
        <f t="shared" si="6"/>
        <v>248.89999999999998</v>
      </c>
      <c r="AH10" s="46">
        <f t="shared" si="6"/>
        <v>250</v>
      </c>
      <c r="AI10" s="47">
        <f t="shared" si="6"/>
        <v>263.5</v>
      </c>
      <c r="AJ10" s="47">
        <f t="shared" si="6"/>
        <v>248.9</v>
      </c>
      <c r="AK10" s="47">
        <f t="shared" si="6"/>
        <v>254.8</v>
      </c>
      <c r="AL10" s="46">
        <f aca="true" t="shared" si="7" ref="AL10:AQ10">AL8-AL9</f>
        <v>253.90000000000003</v>
      </c>
      <c r="AM10" s="47">
        <f t="shared" si="7"/>
        <v>258.09999999999997</v>
      </c>
      <c r="AN10" s="47">
        <f t="shared" si="7"/>
        <v>269.3</v>
      </c>
      <c r="AO10" s="47">
        <f t="shared" si="7"/>
        <v>283.5</v>
      </c>
      <c r="AP10" s="46">
        <f t="shared" si="7"/>
        <v>289.6</v>
      </c>
      <c r="AQ10" s="47">
        <f t="shared" si="7"/>
        <v>291.3</v>
      </c>
    </row>
    <row r="11" spans="1:43" s="9" customFormat="1" ht="22.5">
      <c r="A11" s="89" t="s">
        <v>200</v>
      </c>
      <c r="B11" s="39">
        <v>37.8</v>
      </c>
      <c r="C11" s="40">
        <v>17.400000000000006</v>
      </c>
      <c r="D11" s="68">
        <v>36.3</v>
      </c>
      <c r="E11" s="40">
        <v>-8.499999999999972</v>
      </c>
      <c r="F11" s="39">
        <v>72.5</v>
      </c>
      <c r="G11" s="40">
        <v>64.8</v>
      </c>
      <c r="H11" s="40">
        <v>53.4</v>
      </c>
      <c r="I11" s="41">
        <v>-307.9</v>
      </c>
      <c r="J11" s="39">
        <v>-24</v>
      </c>
      <c r="K11" s="40">
        <v>43.6</v>
      </c>
      <c r="L11" s="40">
        <v>58.8</v>
      </c>
      <c r="M11" s="41">
        <v>19.5</v>
      </c>
      <c r="N11" s="39">
        <v>28.5</v>
      </c>
      <c r="O11" s="40">
        <v>22.8</v>
      </c>
      <c r="P11" s="40">
        <v>24.4</v>
      </c>
      <c r="Q11" s="41">
        <v>1.8</v>
      </c>
      <c r="R11" s="39">
        <v>26.8</v>
      </c>
      <c r="S11" s="40">
        <f>11.5-0.1</f>
        <v>11.4</v>
      </c>
      <c r="T11" s="40">
        <v>-8.1</v>
      </c>
      <c r="U11" s="41">
        <v>-11.8</v>
      </c>
      <c r="V11" s="39">
        <v>53.7</v>
      </c>
      <c r="W11" s="40">
        <v>12.3</v>
      </c>
      <c r="X11" s="40">
        <v>18.900000000000006</v>
      </c>
      <c r="Y11" s="41">
        <v>0.6</v>
      </c>
      <c r="Z11" s="39">
        <f>17.1-1</f>
        <v>16.1</v>
      </c>
      <c r="AA11" s="40">
        <f>24+10.3-5.2</f>
        <v>29.099999999999998</v>
      </c>
      <c r="AB11" s="40">
        <f>41.5-5.1-16.2</f>
        <v>20.2</v>
      </c>
      <c r="AC11" s="41">
        <v>10.1</v>
      </c>
      <c r="AD11" s="39">
        <f>25.3-0.4</f>
        <v>24.900000000000002</v>
      </c>
      <c r="AE11" s="40">
        <f>22.8</f>
        <v>22.8</v>
      </c>
      <c r="AF11" s="40">
        <v>23.6</v>
      </c>
      <c r="AG11" s="41">
        <v>23.1</v>
      </c>
      <c r="AH11" s="39">
        <v>15.2</v>
      </c>
      <c r="AI11" s="40">
        <v>27.5</v>
      </c>
      <c r="AJ11" s="40">
        <v>19.5</v>
      </c>
      <c r="AK11" s="41">
        <v>22.9</v>
      </c>
      <c r="AL11" s="39">
        <v>23</v>
      </c>
      <c r="AM11" s="40">
        <v>5.1</v>
      </c>
      <c r="AN11" s="40">
        <v>16.4</v>
      </c>
      <c r="AO11" s="41">
        <v>12.7</v>
      </c>
      <c r="AP11" s="39">
        <v>18</v>
      </c>
      <c r="AQ11" s="40">
        <v>11.1</v>
      </c>
    </row>
    <row r="12" spans="1:43" s="9" customFormat="1" ht="12.75">
      <c r="A12" s="87" t="s">
        <v>103</v>
      </c>
      <c r="B12" s="39">
        <v>16.9</v>
      </c>
      <c r="C12" s="40">
        <v>6.1</v>
      </c>
      <c r="D12" s="40">
        <v>1.9</v>
      </c>
      <c r="E12" s="40">
        <v>0.1</v>
      </c>
      <c r="F12" s="39">
        <v>0.1</v>
      </c>
      <c r="G12" s="40">
        <v>24.1</v>
      </c>
      <c r="H12" s="40">
        <v>-0.3</v>
      </c>
      <c r="I12" s="41">
        <v>6.9</v>
      </c>
      <c r="J12" s="39">
        <v>0.3</v>
      </c>
      <c r="K12" s="40">
        <v>8.3</v>
      </c>
      <c r="L12" s="40">
        <v>5.4</v>
      </c>
      <c r="M12" s="41">
        <v>-10.7</v>
      </c>
      <c r="N12" s="39">
        <v>4</v>
      </c>
      <c r="O12" s="40">
        <v>3</v>
      </c>
      <c r="P12" s="40">
        <v>0.8</v>
      </c>
      <c r="Q12" s="41">
        <v>-5.6</v>
      </c>
      <c r="R12" s="39">
        <v>18.2</v>
      </c>
      <c r="S12" s="40">
        <v>6.2</v>
      </c>
      <c r="T12" s="40">
        <v>7.7</v>
      </c>
      <c r="U12" s="41">
        <v>5.9</v>
      </c>
      <c r="V12" s="39">
        <v>19.1</v>
      </c>
      <c r="W12" s="40">
        <v>6.6</v>
      </c>
      <c r="X12" s="40">
        <v>-0.8999999999999986</v>
      </c>
      <c r="Y12" s="41">
        <v>-0.2</v>
      </c>
      <c r="Z12" s="39">
        <f>120.4-20.9</f>
        <v>99.5</v>
      </c>
      <c r="AA12" s="40">
        <f>-0.3+6.8</f>
        <v>6.5</v>
      </c>
      <c r="AB12" s="40">
        <f>-11.7+3</f>
        <v>-8.7</v>
      </c>
      <c r="AC12" s="41">
        <v>0.4</v>
      </c>
      <c r="AD12" s="39">
        <f>0.1+0.2</f>
        <v>0.30000000000000004</v>
      </c>
      <c r="AE12" s="40">
        <v>4.9</v>
      </c>
      <c r="AF12" s="40">
        <v>5.2</v>
      </c>
      <c r="AG12" s="41">
        <v>5.4</v>
      </c>
      <c r="AH12" s="39">
        <f>51.5-0.6</f>
        <v>50.9</v>
      </c>
      <c r="AI12" s="40">
        <v>90.6</v>
      </c>
      <c r="AJ12" s="40">
        <v>23.2</v>
      </c>
      <c r="AK12" s="41">
        <v>0.3</v>
      </c>
      <c r="AL12" s="39">
        <v>28.7</v>
      </c>
      <c r="AM12" s="40">
        <v>196.6</v>
      </c>
      <c r="AN12" s="40">
        <v>4</v>
      </c>
      <c r="AO12" s="41">
        <v>3</v>
      </c>
      <c r="AP12" s="39">
        <v>10.2</v>
      </c>
      <c r="AQ12" s="40">
        <v>32.8</v>
      </c>
    </row>
    <row r="13" spans="1:43" s="9" customFormat="1" ht="12.75">
      <c r="A13" s="89" t="s">
        <v>109</v>
      </c>
      <c r="B13" s="39">
        <v>0</v>
      </c>
      <c r="C13" s="40">
        <v>-0.19999999999999996</v>
      </c>
      <c r="D13" s="40">
        <v>1.6</v>
      </c>
      <c r="E13" s="40">
        <v>-0.5999999999999996</v>
      </c>
      <c r="F13" s="39">
        <v>0.7</v>
      </c>
      <c r="G13" s="40">
        <v>-0.7</v>
      </c>
      <c r="H13" s="40">
        <v>2.7</v>
      </c>
      <c r="I13" s="41">
        <v>1.9</v>
      </c>
      <c r="J13" s="39">
        <v>17.9</v>
      </c>
      <c r="K13" s="40">
        <v>6</v>
      </c>
      <c r="L13" s="40">
        <v>-6.7</v>
      </c>
      <c r="M13" s="41">
        <v>2.9</v>
      </c>
      <c r="N13" s="39">
        <v>-6.9</v>
      </c>
      <c r="O13" s="40">
        <v>-15.3</v>
      </c>
      <c r="P13" s="40">
        <v>-7.9</v>
      </c>
      <c r="Q13" s="41">
        <v>18</v>
      </c>
      <c r="R13" s="39">
        <v>-16.3</v>
      </c>
      <c r="S13" s="40">
        <v>-3.2</v>
      </c>
      <c r="T13" s="40">
        <f>-23.6</f>
        <v>-23.6</v>
      </c>
      <c r="U13" s="41">
        <f>9.7</f>
        <v>9.7</v>
      </c>
      <c r="V13" s="39">
        <v>1.7</v>
      </c>
      <c r="W13" s="40">
        <v>-5.2</v>
      </c>
      <c r="X13" s="40">
        <v>-5.5</v>
      </c>
      <c r="Y13" s="41">
        <v>-4.3</v>
      </c>
      <c r="Z13" s="39">
        <f>-19+20.9+1</f>
        <v>2.8999999999999986</v>
      </c>
      <c r="AA13" s="40">
        <f>11.5-6.8+5.2</f>
        <v>9.9</v>
      </c>
      <c r="AB13" s="40">
        <f>2.3+16.2-3</f>
        <v>15.5</v>
      </c>
      <c r="AC13" s="41">
        <v>3.7</v>
      </c>
      <c r="AD13" s="39">
        <f>0.6+0.4-0.2</f>
        <v>0.8</v>
      </c>
      <c r="AE13" s="40">
        <v>3</v>
      </c>
      <c r="AF13" s="40">
        <v>7.2</v>
      </c>
      <c r="AG13" s="41">
        <v>-2.1</v>
      </c>
      <c r="AH13" s="39">
        <f>10.8+0.6</f>
        <v>11.4</v>
      </c>
      <c r="AI13" s="40">
        <v>3.3</v>
      </c>
      <c r="AJ13" s="40">
        <v>2.6</v>
      </c>
      <c r="AK13" s="41">
        <v>5.6</v>
      </c>
      <c r="AL13" s="39">
        <v>-2.6</v>
      </c>
      <c r="AM13" s="40">
        <v>0.5</v>
      </c>
      <c r="AN13" s="40">
        <v>0.2</v>
      </c>
      <c r="AO13" s="41">
        <v>-0.7</v>
      </c>
      <c r="AP13" s="39">
        <v>0.4</v>
      </c>
      <c r="AQ13" s="40">
        <v>6.6</v>
      </c>
    </row>
    <row r="14" spans="1:43" s="7" customFormat="1" ht="12.75">
      <c r="A14" s="87" t="s">
        <v>199</v>
      </c>
      <c r="B14" s="39">
        <v>12.7</v>
      </c>
      <c r="C14" s="40">
        <v>6.8</v>
      </c>
      <c r="D14" s="40">
        <v>6.6</v>
      </c>
      <c r="E14" s="40">
        <v>-5.2</v>
      </c>
      <c r="F14" s="39">
        <v>6.5</v>
      </c>
      <c r="G14" s="40">
        <v>-9.5</v>
      </c>
      <c r="H14" s="40">
        <v>1</v>
      </c>
      <c r="I14" s="41">
        <v>21</v>
      </c>
      <c r="J14" s="67">
        <v>7.9</v>
      </c>
      <c r="K14" s="40">
        <v>2.7</v>
      </c>
      <c r="L14" s="40">
        <v>5.4</v>
      </c>
      <c r="M14" s="41">
        <v>-24.1</v>
      </c>
      <c r="N14" s="39">
        <v>6.3</v>
      </c>
      <c r="O14" s="40">
        <v>5</v>
      </c>
      <c r="P14" s="40">
        <v>6.5</v>
      </c>
      <c r="Q14" s="41">
        <v>-9.9</v>
      </c>
      <c r="R14" s="39">
        <v>7.8</v>
      </c>
      <c r="S14" s="40">
        <v>4.9</v>
      </c>
      <c r="T14" s="40">
        <v>2.7</v>
      </c>
      <c r="U14" s="41">
        <v>1.4</v>
      </c>
      <c r="V14" s="39">
        <v>4</v>
      </c>
      <c r="W14" s="40">
        <v>3.1</v>
      </c>
      <c r="X14" s="40">
        <v>3.700000000000001</v>
      </c>
      <c r="Y14" s="41">
        <v>4.6</v>
      </c>
      <c r="Z14" s="39">
        <v>9.8</v>
      </c>
      <c r="AA14" s="40">
        <v>4.5</v>
      </c>
      <c r="AB14" s="40">
        <v>3.6999999999999993</v>
      </c>
      <c r="AC14" s="41">
        <v>2.7</v>
      </c>
      <c r="AD14" s="39">
        <v>2.6</v>
      </c>
      <c r="AE14" s="40">
        <v>4.1</v>
      </c>
      <c r="AF14" s="40">
        <v>6.1</v>
      </c>
      <c r="AG14" s="41">
        <v>7.5</v>
      </c>
      <c r="AH14" s="39">
        <v>9.5</v>
      </c>
      <c r="AI14" s="40">
        <v>2.4</v>
      </c>
      <c r="AJ14" s="40">
        <v>-1.7</v>
      </c>
      <c r="AK14" s="41">
        <v>10.6</v>
      </c>
      <c r="AL14" s="39">
        <v>4.5</v>
      </c>
      <c r="AM14" s="40">
        <v>1.2</v>
      </c>
      <c r="AN14" s="40">
        <v>-0.3</v>
      </c>
      <c r="AO14" s="41">
        <v>14</v>
      </c>
      <c r="AP14" s="39">
        <v>0.8</v>
      </c>
      <c r="AQ14" s="40">
        <v>-0.7</v>
      </c>
    </row>
    <row r="15" spans="1:43" s="9" customFormat="1" ht="12.75">
      <c r="A15" s="88" t="s">
        <v>12</v>
      </c>
      <c r="B15" s="46">
        <f>B7+B10+B11+B12+B13+B14</f>
        <v>526.8000000000001</v>
      </c>
      <c r="C15" s="47">
        <f aca="true" t="shared" si="8" ref="C15:W15">C7+C10+C11+C12+C13+C14</f>
        <v>511.3000000000002</v>
      </c>
      <c r="D15" s="47">
        <f t="shared" si="8"/>
        <v>532.6999999999999</v>
      </c>
      <c r="E15" s="47">
        <f t="shared" si="8"/>
        <v>462.49999999999994</v>
      </c>
      <c r="F15" s="46">
        <f t="shared" si="8"/>
        <v>571.1</v>
      </c>
      <c r="G15" s="47">
        <f t="shared" si="8"/>
        <v>611.4999999999999</v>
      </c>
      <c r="H15" s="47">
        <f t="shared" si="8"/>
        <v>607.2</v>
      </c>
      <c r="I15" s="48">
        <f t="shared" si="8"/>
        <v>294.5</v>
      </c>
      <c r="J15" s="46">
        <f t="shared" si="8"/>
        <v>551.2999999999998</v>
      </c>
      <c r="K15" s="47">
        <f t="shared" si="8"/>
        <v>673.6</v>
      </c>
      <c r="L15" s="47">
        <f t="shared" si="8"/>
        <v>697.9999999999999</v>
      </c>
      <c r="M15" s="48">
        <f t="shared" si="8"/>
        <v>573.5999999999999</v>
      </c>
      <c r="N15" s="46">
        <f t="shared" si="8"/>
        <v>654.6999999999999</v>
      </c>
      <c r="O15" s="47">
        <f t="shared" si="8"/>
        <v>671.6</v>
      </c>
      <c r="P15" s="47">
        <f t="shared" si="8"/>
        <v>693.4999999999999</v>
      </c>
      <c r="Q15" s="48">
        <f t="shared" si="8"/>
        <v>686.1999999999999</v>
      </c>
      <c r="R15" s="46">
        <f t="shared" si="8"/>
        <v>731.9</v>
      </c>
      <c r="S15" s="47">
        <f t="shared" si="8"/>
        <v>746.3</v>
      </c>
      <c r="T15" s="47">
        <f t="shared" si="8"/>
        <v>726.6</v>
      </c>
      <c r="U15" s="48">
        <f t="shared" si="8"/>
        <v>744</v>
      </c>
      <c r="V15" s="46">
        <f t="shared" si="8"/>
        <v>850.0000000000001</v>
      </c>
      <c r="W15" s="47">
        <f t="shared" si="8"/>
        <v>792.3</v>
      </c>
      <c r="X15" s="47">
        <f aca="true" t="shared" si="9" ref="X15:AE15">X7+X10+X11+X12+X13+X14</f>
        <v>793.8999999999999</v>
      </c>
      <c r="Y15" s="48">
        <f t="shared" si="9"/>
        <v>773.2</v>
      </c>
      <c r="Z15" s="46">
        <f t="shared" si="9"/>
        <v>855.1999999999999</v>
      </c>
      <c r="AA15" s="47">
        <f t="shared" si="9"/>
        <v>806.3</v>
      </c>
      <c r="AB15" s="47">
        <f t="shared" si="9"/>
        <v>801.8000000000002</v>
      </c>
      <c r="AC15" s="48">
        <f t="shared" si="9"/>
        <v>827.1</v>
      </c>
      <c r="AD15" s="46">
        <f t="shared" si="9"/>
        <v>872.5999999999999</v>
      </c>
      <c r="AE15" s="47">
        <f t="shared" si="9"/>
        <v>896.6</v>
      </c>
      <c r="AF15" s="47">
        <f aca="true" t="shared" si="10" ref="AF15:AK15">AF7+AF10+AF11+AF12+AF13+AF14</f>
        <v>897.3000000000002</v>
      </c>
      <c r="AG15" s="47">
        <f t="shared" si="10"/>
        <v>866</v>
      </c>
      <c r="AH15" s="46">
        <f t="shared" si="10"/>
        <v>906</v>
      </c>
      <c r="AI15" s="47">
        <f t="shared" si="10"/>
        <v>981.4</v>
      </c>
      <c r="AJ15" s="47">
        <f t="shared" si="10"/>
        <v>937.1</v>
      </c>
      <c r="AK15" s="47">
        <f t="shared" si="10"/>
        <v>953.6</v>
      </c>
      <c r="AL15" s="46">
        <f aca="true" t="shared" si="11" ref="AL15:AQ15">AL7+AL10+AL11+AL12+AL13+AL14</f>
        <v>975.6</v>
      </c>
      <c r="AM15" s="47">
        <f t="shared" si="11"/>
        <v>1152.4</v>
      </c>
      <c r="AN15" s="47">
        <f t="shared" si="11"/>
        <v>1074.5000000000002</v>
      </c>
      <c r="AO15" s="47">
        <f t="shared" si="11"/>
        <v>1122</v>
      </c>
      <c r="AP15" s="46">
        <f t="shared" si="11"/>
        <v>1134.5</v>
      </c>
      <c r="AQ15" s="47">
        <f t="shared" si="11"/>
        <v>1190.3999999999996</v>
      </c>
    </row>
    <row r="16" spans="1:43" s="9" customFormat="1" ht="12.75">
      <c r="A16" s="89" t="s">
        <v>13</v>
      </c>
      <c r="B16" s="39">
        <f aca="true" t="shared" si="12" ref="B16:AJ16">SUM(B17:B19)</f>
        <v>336.1</v>
      </c>
      <c r="C16" s="40">
        <f t="shared" si="12"/>
        <v>345</v>
      </c>
      <c r="D16" s="40">
        <f t="shared" si="12"/>
        <v>356.9</v>
      </c>
      <c r="E16" s="40">
        <f t="shared" si="12"/>
        <v>355.1</v>
      </c>
      <c r="F16" s="39">
        <f t="shared" si="12"/>
        <v>367.69999999999993</v>
      </c>
      <c r="G16" s="40">
        <f t="shared" si="12"/>
        <v>389.9</v>
      </c>
      <c r="H16" s="40">
        <f t="shared" si="12"/>
        <v>407.7</v>
      </c>
      <c r="I16" s="41">
        <f t="shared" si="12"/>
        <v>338.59999999999997</v>
      </c>
      <c r="J16" s="39">
        <f t="shared" si="12"/>
        <v>366.79999999999995</v>
      </c>
      <c r="K16" s="40">
        <f t="shared" si="12"/>
        <v>386.6</v>
      </c>
      <c r="L16" s="40">
        <f t="shared" si="12"/>
        <v>397.29999999999995</v>
      </c>
      <c r="M16" s="41">
        <f t="shared" si="12"/>
        <v>355.2</v>
      </c>
      <c r="N16" s="39">
        <f t="shared" si="12"/>
        <v>394.4</v>
      </c>
      <c r="O16" s="40">
        <f t="shared" si="12"/>
        <v>407.1</v>
      </c>
      <c r="P16" s="40">
        <f t="shared" si="12"/>
        <v>411.6</v>
      </c>
      <c r="Q16" s="41">
        <f t="shared" si="12"/>
        <v>396.4</v>
      </c>
      <c r="R16" s="39">
        <f t="shared" si="12"/>
        <v>417.4</v>
      </c>
      <c r="S16" s="40">
        <f t="shared" si="12"/>
        <v>431.8</v>
      </c>
      <c r="T16" s="40">
        <f t="shared" si="12"/>
        <v>431.1</v>
      </c>
      <c r="U16" s="41">
        <f t="shared" si="12"/>
        <v>419.7</v>
      </c>
      <c r="V16" s="39">
        <f t="shared" si="12"/>
        <v>474.90000000000003</v>
      </c>
      <c r="W16" s="40">
        <f t="shared" si="12"/>
        <v>465</v>
      </c>
      <c r="X16" s="40">
        <f t="shared" si="12"/>
        <v>466.2</v>
      </c>
      <c r="Y16" s="41">
        <f t="shared" si="12"/>
        <v>460.1</v>
      </c>
      <c r="Z16" s="39">
        <f t="shared" si="12"/>
        <v>482.2</v>
      </c>
      <c r="AA16" s="40">
        <f t="shared" si="12"/>
        <v>477</v>
      </c>
      <c r="AB16" s="40">
        <f t="shared" si="12"/>
        <v>458.79999999999995</v>
      </c>
      <c r="AC16" s="41">
        <f t="shared" si="12"/>
        <v>450.40000000000003</v>
      </c>
      <c r="AD16" s="39">
        <f t="shared" si="12"/>
        <v>471.20000000000005</v>
      </c>
      <c r="AE16" s="40">
        <f t="shared" si="12"/>
        <v>480.5</v>
      </c>
      <c r="AF16" s="40">
        <f t="shared" si="12"/>
        <v>489.5</v>
      </c>
      <c r="AG16" s="40">
        <f t="shared" si="12"/>
        <v>488.5</v>
      </c>
      <c r="AH16" s="39">
        <f t="shared" si="12"/>
        <v>495.6</v>
      </c>
      <c r="AI16" s="40">
        <f t="shared" si="12"/>
        <v>502.29999999999995</v>
      </c>
      <c r="AJ16" s="40">
        <f t="shared" si="12"/>
        <v>509.8</v>
      </c>
      <c r="AK16" s="40">
        <v>648</v>
      </c>
      <c r="AL16" s="39">
        <v>508.8</v>
      </c>
      <c r="AM16" s="40">
        <f>SUM(AM17:AM19)</f>
        <v>517.2</v>
      </c>
      <c r="AN16" s="40">
        <v>515.5</v>
      </c>
      <c r="AO16" s="40">
        <v>557.7</v>
      </c>
      <c r="AP16" s="39">
        <f>SUM(AP17:AP19)</f>
        <v>564.4</v>
      </c>
      <c r="AQ16" s="40">
        <f>SUM(AQ17:AQ19)</f>
        <v>510.3</v>
      </c>
    </row>
    <row r="17" spans="1:43" s="9" customFormat="1" ht="12.75">
      <c r="A17" s="89" t="s">
        <v>14</v>
      </c>
      <c r="B17" s="39">
        <v>154.6</v>
      </c>
      <c r="C17" s="40">
        <v>168.2</v>
      </c>
      <c r="D17" s="40">
        <v>174.5</v>
      </c>
      <c r="E17" s="40">
        <v>194.3</v>
      </c>
      <c r="F17" s="39">
        <v>180.1</v>
      </c>
      <c r="G17" s="40">
        <v>182.2</v>
      </c>
      <c r="H17" s="40">
        <v>208.5</v>
      </c>
      <c r="I17" s="41">
        <v>200.7</v>
      </c>
      <c r="J17" s="39">
        <v>153</v>
      </c>
      <c r="K17" s="40">
        <v>180.9</v>
      </c>
      <c r="L17" s="40">
        <v>178.7</v>
      </c>
      <c r="M17" s="41">
        <f>200.3+4.2+0.6</f>
        <v>205.1</v>
      </c>
      <c r="N17" s="39">
        <v>178.6</v>
      </c>
      <c r="O17" s="40">
        <v>185.4</v>
      </c>
      <c r="P17" s="40">
        <v>198.7</v>
      </c>
      <c r="Q17" s="41">
        <v>248.4</v>
      </c>
      <c r="R17" s="39">
        <v>199.3</v>
      </c>
      <c r="S17" s="40">
        <v>208.9</v>
      </c>
      <c r="T17" s="40">
        <v>210.8</v>
      </c>
      <c r="U17" s="41">
        <v>214.3</v>
      </c>
      <c r="V17" s="39">
        <v>228</v>
      </c>
      <c r="W17" s="40">
        <v>213.1</v>
      </c>
      <c r="X17" s="40">
        <v>219.1</v>
      </c>
      <c r="Y17" s="41">
        <v>240.6</v>
      </c>
      <c r="Z17" s="39">
        <v>226.7</v>
      </c>
      <c r="AA17" s="40">
        <v>226.3</v>
      </c>
      <c r="AB17" s="40">
        <v>230.1</v>
      </c>
      <c r="AC17" s="41">
        <v>243.5</v>
      </c>
      <c r="AD17" s="39">
        <v>230.5</v>
      </c>
      <c r="AE17" s="40">
        <v>241.3</v>
      </c>
      <c r="AF17" s="40">
        <v>237.4</v>
      </c>
      <c r="AG17" s="41">
        <v>238.3</v>
      </c>
      <c r="AH17" s="39">
        <v>238.9</v>
      </c>
      <c r="AI17" s="40">
        <v>237</v>
      </c>
      <c r="AJ17" s="40">
        <v>243.8</v>
      </c>
      <c r="AK17" s="41">
        <v>252.3</v>
      </c>
      <c r="AL17" s="39">
        <v>251.5</v>
      </c>
      <c r="AM17" s="40">
        <v>251.3</v>
      </c>
      <c r="AN17" s="40">
        <v>259.8</v>
      </c>
      <c r="AO17" s="41">
        <v>276.7</v>
      </c>
      <c r="AP17" s="39">
        <v>251</v>
      </c>
      <c r="AQ17" s="40">
        <v>260.6</v>
      </c>
    </row>
    <row r="18" spans="1:43" s="9" customFormat="1" ht="13.5" customHeight="1">
      <c r="A18" s="89" t="s">
        <v>15</v>
      </c>
      <c r="B18" s="39">
        <v>34.6</v>
      </c>
      <c r="C18" s="40">
        <v>36.2</v>
      </c>
      <c r="D18" s="40">
        <v>35</v>
      </c>
      <c r="E18" s="40">
        <v>49</v>
      </c>
      <c r="F18" s="39">
        <v>33.3</v>
      </c>
      <c r="G18" s="40">
        <v>33.6</v>
      </c>
      <c r="H18" s="40">
        <v>34.19999999999999</v>
      </c>
      <c r="I18" s="41">
        <v>32.7</v>
      </c>
      <c r="J18" s="39">
        <v>31</v>
      </c>
      <c r="K18" s="40">
        <v>32</v>
      </c>
      <c r="L18" s="40">
        <v>29.5</v>
      </c>
      <c r="M18" s="41">
        <v>31.4</v>
      </c>
      <c r="N18" s="39">
        <v>29.1</v>
      </c>
      <c r="O18" s="40">
        <v>29.5</v>
      </c>
      <c r="P18" s="40">
        <v>30.1</v>
      </c>
      <c r="Q18" s="41">
        <v>32.3</v>
      </c>
      <c r="R18" s="39">
        <v>30.5</v>
      </c>
      <c r="S18" s="40">
        <v>31.9</v>
      </c>
      <c r="T18" s="40">
        <v>34</v>
      </c>
      <c r="U18" s="41">
        <v>36.2</v>
      </c>
      <c r="V18" s="39">
        <v>33.6</v>
      </c>
      <c r="W18" s="40">
        <v>34.7</v>
      </c>
      <c r="X18" s="40">
        <v>35.1</v>
      </c>
      <c r="Y18" s="41">
        <v>44.7</v>
      </c>
      <c r="Z18" s="39">
        <v>39.9</v>
      </c>
      <c r="AA18" s="40">
        <v>40.7</v>
      </c>
      <c r="AB18" s="40">
        <v>39.3</v>
      </c>
      <c r="AC18" s="41">
        <v>44.1</v>
      </c>
      <c r="AD18" s="39">
        <v>38</v>
      </c>
      <c r="AE18" s="40">
        <v>38.5</v>
      </c>
      <c r="AF18" s="40">
        <v>39.6</v>
      </c>
      <c r="AG18" s="41">
        <v>59</v>
      </c>
      <c r="AH18" s="39">
        <v>41.8</v>
      </c>
      <c r="AI18" s="40">
        <v>43.4</v>
      </c>
      <c r="AJ18" s="40">
        <v>46.8</v>
      </c>
      <c r="AK18" s="41">
        <v>57.2</v>
      </c>
      <c r="AL18" s="39">
        <v>42.2</v>
      </c>
      <c r="AM18" s="40">
        <v>45.6</v>
      </c>
      <c r="AN18" s="40">
        <v>46.1</v>
      </c>
      <c r="AO18" s="41">
        <v>76.7</v>
      </c>
      <c r="AP18" s="39">
        <v>46.1</v>
      </c>
      <c r="AQ18" s="40">
        <v>44.8</v>
      </c>
    </row>
    <row r="19" spans="1:43" s="9" customFormat="1" ht="12.75">
      <c r="A19" s="89" t="s">
        <v>336</v>
      </c>
      <c r="B19" s="39">
        <f>145.9+1</f>
        <v>146.9</v>
      </c>
      <c r="C19" s="40">
        <f>139.6+1</f>
        <v>140.6</v>
      </c>
      <c r="D19" s="40">
        <f>146.4+1</f>
        <v>147.4</v>
      </c>
      <c r="E19" s="40">
        <f>110.8+1</f>
        <v>111.8</v>
      </c>
      <c r="F19" s="39">
        <f>153.1+1.2</f>
        <v>154.29999999999998</v>
      </c>
      <c r="G19" s="40">
        <f>172.9+1.2</f>
        <v>174.1</v>
      </c>
      <c r="H19" s="40">
        <f>163.8+1.2</f>
        <v>165</v>
      </c>
      <c r="I19" s="41">
        <f>104+1.2</f>
        <v>105.2</v>
      </c>
      <c r="J19" s="39">
        <f>178.7+4.1</f>
        <v>182.79999999999998</v>
      </c>
      <c r="K19" s="40">
        <f>169.6+4.1</f>
        <v>173.7</v>
      </c>
      <c r="L19" s="40">
        <f>185+4.1</f>
        <v>189.1</v>
      </c>
      <c r="M19" s="41">
        <f>114.6+4.1</f>
        <v>118.69999999999999</v>
      </c>
      <c r="N19" s="39">
        <f>182.8+3.9</f>
        <v>186.70000000000002</v>
      </c>
      <c r="O19" s="68">
        <f>188.3+3.9</f>
        <v>192.20000000000002</v>
      </c>
      <c r="P19" s="40">
        <f>178.9+3.9</f>
        <v>182.8</v>
      </c>
      <c r="Q19" s="41">
        <f>111.8+3.9</f>
        <v>115.7</v>
      </c>
      <c r="R19" s="39">
        <f>178.5+9.1</f>
        <v>187.6</v>
      </c>
      <c r="S19" s="40">
        <f>181.9+9.1</f>
        <v>191</v>
      </c>
      <c r="T19" s="40">
        <f>177.2+9.1</f>
        <v>186.29999999999998</v>
      </c>
      <c r="U19" s="41">
        <f>160.1+9.1</f>
        <v>169.2</v>
      </c>
      <c r="V19" s="39">
        <f>202.3+11</f>
        <v>213.3</v>
      </c>
      <c r="W19" s="40">
        <f>206.2+11</f>
        <v>217.2</v>
      </c>
      <c r="X19" s="40">
        <f>201+11</f>
        <v>212</v>
      </c>
      <c r="Y19" s="41">
        <f>163.8+11</f>
        <v>174.8</v>
      </c>
      <c r="Z19" s="39">
        <f>204.3+11.3</f>
        <v>215.60000000000002</v>
      </c>
      <c r="AA19" s="40">
        <f>198.6+11.4</f>
        <v>210</v>
      </c>
      <c r="AB19" s="40">
        <f>178.1+11.3</f>
        <v>189.4</v>
      </c>
      <c r="AC19" s="41">
        <f>151.5+11.3</f>
        <v>162.8</v>
      </c>
      <c r="AD19" s="39">
        <f>25.4+177.3</f>
        <v>202.70000000000002</v>
      </c>
      <c r="AE19" s="40">
        <f>26.7+174</f>
        <v>200.7</v>
      </c>
      <c r="AF19" s="40">
        <f>185+27.5</f>
        <v>212.5</v>
      </c>
      <c r="AG19" s="41">
        <f>488.5-238.3-59</f>
        <v>191.2</v>
      </c>
      <c r="AH19" s="39">
        <f>30.1+184.8</f>
        <v>214.9</v>
      </c>
      <c r="AI19" s="40">
        <f>30.9+191</f>
        <v>221.9</v>
      </c>
      <c r="AJ19" s="40">
        <f>32.2+187</f>
        <v>219.2</v>
      </c>
      <c r="AK19" s="41">
        <f>314.6+23.9</f>
        <v>338.5</v>
      </c>
      <c r="AL19" s="39">
        <f>157.9+25.5+31.7</f>
        <v>215.1</v>
      </c>
      <c r="AM19" s="40">
        <f>265.9-45.6</f>
        <v>220.29999999999998</v>
      </c>
      <c r="AN19" s="40">
        <f>255.7-46.1</f>
        <v>209.6</v>
      </c>
      <c r="AO19" s="41">
        <f>281-76.7</f>
        <v>204.3</v>
      </c>
      <c r="AP19" s="39">
        <f>313.4-46.1</f>
        <v>267.29999999999995</v>
      </c>
      <c r="AQ19" s="40">
        <f>249.7-44.8</f>
        <v>204.89999999999998</v>
      </c>
    </row>
    <row r="20" spans="1:43" s="9" customFormat="1" ht="12.75" customHeight="1">
      <c r="A20" s="87" t="s">
        <v>350</v>
      </c>
      <c r="B20" s="39">
        <v>0</v>
      </c>
      <c r="C20" s="40">
        <v>0</v>
      </c>
      <c r="D20" s="40">
        <v>0</v>
      </c>
      <c r="E20" s="40">
        <v>0</v>
      </c>
      <c r="F20" s="39">
        <v>0</v>
      </c>
      <c r="G20" s="40">
        <v>0</v>
      </c>
      <c r="H20" s="40">
        <v>0</v>
      </c>
      <c r="I20" s="41">
        <v>0</v>
      </c>
      <c r="J20" s="39">
        <v>0</v>
      </c>
      <c r="K20" s="40">
        <v>0</v>
      </c>
      <c r="L20" s="40">
        <v>0</v>
      </c>
      <c r="M20" s="41">
        <v>0</v>
      </c>
      <c r="N20" s="39">
        <v>0</v>
      </c>
      <c r="O20" s="40">
        <v>0</v>
      </c>
      <c r="P20" s="40">
        <v>0</v>
      </c>
      <c r="Q20" s="41">
        <v>0</v>
      </c>
      <c r="R20" s="39">
        <v>0</v>
      </c>
      <c r="S20" s="40">
        <v>0</v>
      </c>
      <c r="T20" s="40">
        <v>0</v>
      </c>
      <c r="U20" s="41">
        <v>0</v>
      </c>
      <c r="V20" s="39">
        <v>0</v>
      </c>
      <c r="W20" s="40">
        <v>0</v>
      </c>
      <c r="X20" s="40">
        <v>0</v>
      </c>
      <c r="Y20" s="41">
        <v>0</v>
      </c>
      <c r="Z20" s="39">
        <v>0</v>
      </c>
      <c r="AA20" s="40">
        <v>0</v>
      </c>
      <c r="AB20" s="40">
        <v>0</v>
      </c>
      <c r="AC20" s="41">
        <v>0</v>
      </c>
      <c r="AD20" s="39">
        <v>0</v>
      </c>
      <c r="AE20" s="40">
        <v>0</v>
      </c>
      <c r="AF20" s="40">
        <v>0</v>
      </c>
      <c r="AG20" s="41">
        <v>0</v>
      </c>
      <c r="AH20" s="39">
        <v>0</v>
      </c>
      <c r="AI20" s="40">
        <v>0</v>
      </c>
      <c r="AJ20" s="40">
        <v>0</v>
      </c>
      <c r="AK20" s="41">
        <v>0</v>
      </c>
      <c r="AL20" s="39">
        <v>50.5</v>
      </c>
      <c r="AM20" s="40">
        <v>76.8</v>
      </c>
      <c r="AN20" s="40">
        <v>75.7</v>
      </c>
      <c r="AO20" s="41">
        <v>77.2</v>
      </c>
      <c r="AP20" s="39">
        <v>79.4</v>
      </c>
      <c r="AQ20" s="40">
        <v>80.4</v>
      </c>
    </row>
    <row r="21" spans="1:43" s="9" customFormat="1" ht="12.75">
      <c r="A21" s="87" t="s">
        <v>16</v>
      </c>
      <c r="B21" s="39">
        <v>-6.3</v>
      </c>
      <c r="C21" s="40">
        <v>-26.7</v>
      </c>
      <c r="D21" s="40">
        <v>-64.4</v>
      </c>
      <c r="E21" s="40">
        <v>-5.8</v>
      </c>
      <c r="F21" s="39">
        <v>0.7</v>
      </c>
      <c r="G21" s="40">
        <v>-58.8</v>
      </c>
      <c r="H21" s="40">
        <v>7.2</v>
      </c>
      <c r="I21" s="41">
        <v>116.5</v>
      </c>
      <c r="J21" s="39">
        <v>91.7</v>
      </c>
      <c r="K21" s="40">
        <v>73.8</v>
      </c>
      <c r="L21" s="68">
        <v>54.1</v>
      </c>
      <c r="M21" s="69">
        <v>84.8</v>
      </c>
      <c r="N21" s="39">
        <v>48.1</v>
      </c>
      <c r="O21" s="68">
        <v>39.2</v>
      </c>
      <c r="P21" s="40">
        <v>55.1</v>
      </c>
      <c r="Q21" s="69">
        <v>61.2</v>
      </c>
      <c r="R21" s="39">
        <v>57.1</v>
      </c>
      <c r="S21" s="40">
        <v>37.7</v>
      </c>
      <c r="T21" s="40">
        <v>27.1</v>
      </c>
      <c r="U21" s="41">
        <v>50.5</v>
      </c>
      <c r="V21" s="39">
        <v>64.3</v>
      </c>
      <c r="W21" s="40">
        <v>131.2</v>
      </c>
      <c r="X21" s="40">
        <v>82.60000000000002</v>
      </c>
      <c r="Y21" s="41">
        <v>84.7</v>
      </c>
      <c r="Z21" s="39">
        <v>58</v>
      </c>
      <c r="AA21" s="40">
        <f>64+5.1</f>
        <v>69.1</v>
      </c>
      <c r="AB21" s="40">
        <v>63.7</v>
      </c>
      <c r="AC21" s="41">
        <f>68+7.3+1.1</f>
        <v>76.39999999999999</v>
      </c>
      <c r="AD21" s="39">
        <v>84.1</v>
      </c>
      <c r="AE21" s="40">
        <v>33.3</v>
      </c>
      <c r="AF21" s="40">
        <v>65.2</v>
      </c>
      <c r="AG21" s="41">
        <v>85.1</v>
      </c>
      <c r="AH21" s="39">
        <v>84.3</v>
      </c>
      <c r="AI21" s="40">
        <v>64.3</v>
      </c>
      <c r="AJ21" s="40">
        <v>32</v>
      </c>
      <c r="AK21" s="41">
        <v>51.5</v>
      </c>
      <c r="AL21" s="39">
        <v>78.9</v>
      </c>
      <c r="AM21" s="40">
        <v>33.5</v>
      </c>
      <c r="AN21" s="40">
        <v>49.7</v>
      </c>
      <c r="AO21" s="41">
        <v>138.5</v>
      </c>
      <c r="AP21" s="39">
        <v>76.9</v>
      </c>
      <c r="AQ21" s="40">
        <v>123.6</v>
      </c>
    </row>
    <row r="22" spans="1:43" s="9" customFormat="1" ht="22.5">
      <c r="A22" s="87" t="s">
        <v>17</v>
      </c>
      <c r="B22" s="39">
        <v>12.4</v>
      </c>
      <c r="C22" s="40">
        <v>10.9</v>
      </c>
      <c r="D22" s="40">
        <v>9.6</v>
      </c>
      <c r="E22" s="40">
        <v>10.7</v>
      </c>
      <c r="F22" s="39">
        <v>11.6</v>
      </c>
      <c r="G22" s="40">
        <v>14.2</v>
      </c>
      <c r="H22" s="40">
        <v>13</v>
      </c>
      <c r="I22" s="41">
        <f>9.3+0.1</f>
        <v>9.4</v>
      </c>
      <c r="J22" s="39">
        <v>10.1</v>
      </c>
      <c r="K22" s="40">
        <v>15.5</v>
      </c>
      <c r="L22" s="40">
        <v>10.4</v>
      </c>
      <c r="M22" s="41">
        <v>16.1</v>
      </c>
      <c r="N22" s="39">
        <v>7.3</v>
      </c>
      <c r="O22" s="40">
        <v>10.9</v>
      </c>
      <c r="P22" s="40">
        <v>10.6</v>
      </c>
      <c r="Q22" s="41">
        <v>12.4</v>
      </c>
      <c r="R22" s="39">
        <v>9.7</v>
      </c>
      <c r="S22" s="40">
        <v>13.2</v>
      </c>
      <c r="T22" s="40">
        <v>8.2</v>
      </c>
      <c r="U22" s="41">
        <v>10.1</v>
      </c>
      <c r="V22" s="39">
        <v>6.8</v>
      </c>
      <c r="W22" s="40">
        <v>11.2</v>
      </c>
      <c r="X22" s="40">
        <v>7.600000000000001</v>
      </c>
      <c r="Y22" s="41">
        <v>10.1</v>
      </c>
      <c r="Z22" s="39">
        <v>9</v>
      </c>
      <c r="AA22" s="40">
        <v>7.8</v>
      </c>
      <c r="AB22" s="40">
        <v>9.3</v>
      </c>
      <c r="AC22" s="41">
        <v>12</v>
      </c>
      <c r="AD22" s="39">
        <v>11.2</v>
      </c>
      <c r="AE22" s="40">
        <v>1.1</v>
      </c>
      <c r="AF22" s="40">
        <v>0</v>
      </c>
      <c r="AG22" s="41">
        <v>0</v>
      </c>
      <c r="AH22" s="39">
        <v>0</v>
      </c>
      <c r="AI22" s="40">
        <v>0</v>
      </c>
      <c r="AJ22" s="40">
        <v>0</v>
      </c>
      <c r="AK22" s="41">
        <v>0</v>
      </c>
      <c r="AL22" s="39">
        <v>0</v>
      </c>
      <c r="AM22" s="40">
        <v>0</v>
      </c>
      <c r="AN22" s="40">
        <v>0</v>
      </c>
      <c r="AO22" s="41">
        <v>0</v>
      </c>
      <c r="AP22" s="39">
        <v>0</v>
      </c>
      <c r="AQ22" s="40">
        <v>0</v>
      </c>
    </row>
    <row r="23" spans="1:43" s="9" customFormat="1" ht="12.75">
      <c r="A23" s="88" t="s">
        <v>18</v>
      </c>
      <c r="B23" s="46">
        <f aca="true" t="shared" si="13" ref="B23:AK23">B15-B16-B21+B22</f>
        <v>209.40000000000006</v>
      </c>
      <c r="C23" s="47">
        <f t="shared" si="13"/>
        <v>203.90000000000018</v>
      </c>
      <c r="D23" s="47">
        <f t="shared" si="13"/>
        <v>249.79999999999995</v>
      </c>
      <c r="E23" s="47">
        <f t="shared" si="13"/>
        <v>123.89999999999992</v>
      </c>
      <c r="F23" s="46">
        <f t="shared" si="13"/>
        <v>214.3000000000001</v>
      </c>
      <c r="G23" s="47">
        <f t="shared" si="13"/>
        <v>294.5999999999999</v>
      </c>
      <c r="H23" s="47">
        <f t="shared" si="13"/>
        <v>205.30000000000007</v>
      </c>
      <c r="I23" s="48">
        <f t="shared" si="13"/>
        <v>-151.19999999999996</v>
      </c>
      <c r="J23" s="46">
        <f t="shared" si="13"/>
        <v>102.89999999999988</v>
      </c>
      <c r="K23" s="47">
        <f t="shared" si="13"/>
        <v>228.7</v>
      </c>
      <c r="L23" s="47">
        <f t="shared" si="13"/>
        <v>256.99999999999994</v>
      </c>
      <c r="M23" s="48">
        <f t="shared" si="13"/>
        <v>149.6999999999999</v>
      </c>
      <c r="N23" s="46">
        <f t="shared" si="13"/>
        <v>219.49999999999997</v>
      </c>
      <c r="O23" s="47">
        <f t="shared" si="13"/>
        <v>236.20000000000002</v>
      </c>
      <c r="P23" s="47">
        <f t="shared" si="13"/>
        <v>237.39999999999986</v>
      </c>
      <c r="Q23" s="48">
        <f t="shared" si="13"/>
        <v>240.99999999999997</v>
      </c>
      <c r="R23" s="46">
        <f t="shared" si="13"/>
        <v>267.09999999999997</v>
      </c>
      <c r="S23" s="47">
        <f t="shared" si="13"/>
        <v>289.99999999999994</v>
      </c>
      <c r="T23" s="47">
        <f t="shared" si="13"/>
        <v>276.59999999999997</v>
      </c>
      <c r="U23" s="48">
        <f t="shared" si="13"/>
        <v>283.90000000000003</v>
      </c>
      <c r="V23" s="46">
        <f t="shared" si="13"/>
        <v>317.6000000000001</v>
      </c>
      <c r="W23" s="47">
        <f t="shared" si="13"/>
        <v>207.29999999999995</v>
      </c>
      <c r="X23" s="47">
        <f t="shared" si="13"/>
        <v>252.69999999999985</v>
      </c>
      <c r="Y23" s="48">
        <f t="shared" si="13"/>
        <v>238.50000000000003</v>
      </c>
      <c r="Z23" s="46">
        <f t="shared" si="13"/>
        <v>323.99999999999994</v>
      </c>
      <c r="AA23" s="47">
        <f t="shared" si="13"/>
        <v>267.99999999999994</v>
      </c>
      <c r="AB23" s="47">
        <f t="shared" si="13"/>
        <v>288.60000000000025</v>
      </c>
      <c r="AC23" s="48">
        <f t="shared" si="13"/>
        <v>312.3</v>
      </c>
      <c r="AD23" s="46">
        <f t="shared" si="13"/>
        <v>328.49999999999983</v>
      </c>
      <c r="AE23" s="47">
        <f t="shared" si="13"/>
        <v>383.90000000000003</v>
      </c>
      <c r="AF23" s="47">
        <f t="shared" si="13"/>
        <v>342.6000000000002</v>
      </c>
      <c r="AG23" s="47">
        <f t="shared" si="13"/>
        <v>292.4</v>
      </c>
      <c r="AH23" s="46">
        <f t="shared" si="13"/>
        <v>326.09999999999997</v>
      </c>
      <c r="AI23" s="47">
        <f t="shared" si="13"/>
        <v>414.8</v>
      </c>
      <c r="AJ23" s="47">
        <f t="shared" si="13"/>
        <v>395.3</v>
      </c>
      <c r="AK23" s="47">
        <f t="shared" si="13"/>
        <v>254.10000000000002</v>
      </c>
      <c r="AL23" s="46">
        <f aca="true" t="shared" si="14" ref="AL23:AQ23">AL15-AL16-AL21+AL22-AL20</f>
        <v>337.4</v>
      </c>
      <c r="AM23" s="47">
        <f t="shared" si="14"/>
        <v>524.9000000000001</v>
      </c>
      <c r="AN23" s="47">
        <f t="shared" si="14"/>
        <v>433.60000000000025</v>
      </c>
      <c r="AO23" s="47">
        <f t="shared" si="14"/>
        <v>348.59999999999997</v>
      </c>
      <c r="AP23" s="46">
        <f t="shared" si="14"/>
        <v>413.80000000000007</v>
      </c>
      <c r="AQ23" s="47">
        <f t="shared" si="14"/>
        <v>476.0999999999997</v>
      </c>
    </row>
    <row r="24" spans="1:43" s="9" customFormat="1" ht="12.75">
      <c r="A24" s="90" t="s">
        <v>19</v>
      </c>
      <c r="B24" s="39">
        <v>38.6</v>
      </c>
      <c r="C24" s="40">
        <v>34.4</v>
      </c>
      <c r="D24" s="40">
        <v>50.8</v>
      </c>
      <c r="E24" s="40">
        <v>26.4</v>
      </c>
      <c r="F24" s="39">
        <v>40.5</v>
      </c>
      <c r="G24" s="40">
        <v>60.9</v>
      </c>
      <c r="H24" s="40">
        <v>38.4</v>
      </c>
      <c r="I24" s="41">
        <v>-22.2</v>
      </c>
      <c r="J24" s="39">
        <v>22.1</v>
      </c>
      <c r="K24" s="40">
        <v>46</v>
      </c>
      <c r="L24" s="40">
        <v>46.2</v>
      </c>
      <c r="M24" s="41">
        <v>28.9</v>
      </c>
      <c r="N24" s="39">
        <v>42</v>
      </c>
      <c r="O24" s="40">
        <v>44.7</v>
      </c>
      <c r="P24" s="40">
        <v>45</v>
      </c>
      <c r="Q24" s="41">
        <v>49.3</v>
      </c>
      <c r="R24" s="39">
        <v>54.6</v>
      </c>
      <c r="S24" s="40">
        <v>56.1</v>
      </c>
      <c r="T24" s="40">
        <f>56.5</f>
        <v>56.5</v>
      </c>
      <c r="U24" s="41">
        <v>70.3</v>
      </c>
      <c r="V24" s="39">
        <v>46.1</v>
      </c>
      <c r="W24" s="40">
        <v>39.7</v>
      </c>
      <c r="X24" s="40">
        <v>49.5</v>
      </c>
      <c r="Y24" s="41">
        <v>48.5</v>
      </c>
      <c r="Z24" s="39">
        <f>63.8+0.3+0.3-0.1</f>
        <v>64.3</v>
      </c>
      <c r="AA24" s="40">
        <f>52.2-0.1-1</f>
        <v>51.1</v>
      </c>
      <c r="AB24" s="40">
        <f>53.5+0.7</f>
        <v>54.2</v>
      </c>
      <c r="AC24" s="41">
        <f>63.4-1.4-0.2</f>
        <v>61.8</v>
      </c>
      <c r="AD24" s="39">
        <v>73.9</v>
      </c>
      <c r="AE24" s="40">
        <v>101.5</v>
      </c>
      <c r="AF24" s="40">
        <v>69.5</v>
      </c>
      <c r="AG24" s="41">
        <v>61.7</v>
      </c>
      <c r="AH24" s="39">
        <v>65.1</v>
      </c>
      <c r="AI24" s="40">
        <v>70.1</v>
      </c>
      <c r="AJ24" s="40">
        <v>79.6</v>
      </c>
      <c r="AK24" s="41">
        <v>48.4</v>
      </c>
      <c r="AL24" s="39">
        <v>78.2</v>
      </c>
      <c r="AM24" s="40">
        <v>118</v>
      </c>
      <c r="AN24" s="40">
        <v>101.6</v>
      </c>
      <c r="AO24" s="41">
        <v>93.6</v>
      </c>
      <c r="AP24" s="39">
        <v>113.6</v>
      </c>
      <c r="AQ24" s="40">
        <v>115.7</v>
      </c>
    </row>
    <row r="25" spans="1:43" s="9" customFormat="1" ht="12.75">
      <c r="A25" s="91" t="s">
        <v>20</v>
      </c>
      <c r="B25" s="46">
        <f>B23-B24</f>
        <v>170.80000000000007</v>
      </c>
      <c r="C25" s="47">
        <f aca="true" t="shared" si="15" ref="C25:W25">C23-C24</f>
        <v>169.50000000000017</v>
      </c>
      <c r="D25" s="47">
        <f t="shared" si="15"/>
        <v>198.99999999999994</v>
      </c>
      <c r="E25" s="47">
        <f t="shared" si="15"/>
        <v>97.49999999999991</v>
      </c>
      <c r="F25" s="46">
        <f t="shared" si="15"/>
        <v>173.8000000000001</v>
      </c>
      <c r="G25" s="47">
        <f t="shared" si="15"/>
        <v>233.6999999999999</v>
      </c>
      <c r="H25" s="47">
        <f t="shared" si="15"/>
        <v>166.90000000000006</v>
      </c>
      <c r="I25" s="48">
        <f t="shared" si="15"/>
        <v>-128.99999999999997</v>
      </c>
      <c r="J25" s="46">
        <f t="shared" si="15"/>
        <v>80.79999999999987</v>
      </c>
      <c r="K25" s="47">
        <f t="shared" si="15"/>
        <v>182.7</v>
      </c>
      <c r="L25" s="47">
        <f t="shared" si="15"/>
        <v>210.79999999999995</v>
      </c>
      <c r="M25" s="48">
        <f t="shared" si="15"/>
        <v>120.7999999999999</v>
      </c>
      <c r="N25" s="46">
        <f t="shared" si="15"/>
        <v>177.49999999999997</v>
      </c>
      <c r="O25" s="47">
        <f t="shared" si="15"/>
        <v>191.5</v>
      </c>
      <c r="P25" s="47">
        <f t="shared" si="15"/>
        <v>192.39999999999986</v>
      </c>
      <c r="Q25" s="48">
        <f t="shared" si="15"/>
        <v>191.7</v>
      </c>
      <c r="R25" s="46">
        <f t="shared" si="15"/>
        <v>212.49999999999997</v>
      </c>
      <c r="S25" s="47">
        <f t="shared" si="15"/>
        <v>233.89999999999995</v>
      </c>
      <c r="T25" s="47">
        <f t="shared" si="15"/>
        <v>220.09999999999997</v>
      </c>
      <c r="U25" s="48">
        <f t="shared" si="15"/>
        <v>213.60000000000002</v>
      </c>
      <c r="V25" s="46">
        <f t="shared" si="15"/>
        <v>271.50000000000006</v>
      </c>
      <c r="W25" s="47">
        <f t="shared" si="15"/>
        <v>167.59999999999997</v>
      </c>
      <c r="X25" s="47">
        <f aca="true" t="shared" si="16" ref="X25:AE25">X23-X24</f>
        <v>203.19999999999985</v>
      </c>
      <c r="Y25" s="48">
        <f t="shared" si="16"/>
        <v>190.00000000000003</v>
      </c>
      <c r="Z25" s="46">
        <f t="shared" si="16"/>
        <v>259.69999999999993</v>
      </c>
      <c r="AA25" s="47">
        <f t="shared" si="16"/>
        <v>216.89999999999995</v>
      </c>
      <c r="AB25" s="47">
        <f t="shared" si="16"/>
        <v>234.40000000000026</v>
      </c>
      <c r="AC25" s="48">
        <f t="shared" si="16"/>
        <v>250.5</v>
      </c>
      <c r="AD25" s="46">
        <f t="shared" si="16"/>
        <v>254.59999999999982</v>
      </c>
      <c r="AE25" s="47">
        <f t="shared" si="16"/>
        <v>282.40000000000003</v>
      </c>
      <c r="AF25" s="47">
        <f aca="true" t="shared" si="17" ref="AF25:AK25">AF23-AF24</f>
        <v>273.1000000000002</v>
      </c>
      <c r="AG25" s="47">
        <f t="shared" si="17"/>
        <v>230.7</v>
      </c>
      <c r="AH25" s="46">
        <f t="shared" si="17"/>
        <v>261</v>
      </c>
      <c r="AI25" s="47">
        <f t="shared" si="17"/>
        <v>344.70000000000005</v>
      </c>
      <c r="AJ25" s="47">
        <f t="shared" si="17"/>
        <v>315.70000000000005</v>
      </c>
      <c r="AK25" s="47">
        <f t="shared" si="17"/>
        <v>205.70000000000002</v>
      </c>
      <c r="AL25" s="46">
        <f aca="true" t="shared" si="18" ref="AL25:AQ25">AL23-AL24</f>
        <v>259.2</v>
      </c>
      <c r="AM25" s="47">
        <f t="shared" si="18"/>
        <v>406.9000000000001</v>
      </c>
      <c r="AN25" s="47">
        <f t="shared" si="18"/>
        <v>332.0000000000002</v>
      </c>
      <c r="AO25" s="47">
        <f t="shared" si="18"/>
        <v>254.99999999999997</v>
      </c>
      <c r="AP25" s="46">
        <f t="shared" si="18"/>
        <v>300.20000000000005</v>
      </c>
      <c r="AQ25" s="47">
        <f t="shared" si="18"/>
        <v>360.3999999999997</v>
      </c>
    </row>
    <row r="26" spans="1:43" s="13" customFormat="1" ht="12.75">
      <c r="A26" s="92" t="s">
        <v>201</v>
      </c>
      <c r="B26" s="93">
        <f>B25-B27</f>
        <v>167.40000000000006</v>
      </c>
      <c r="C26" s="94">
        <f aca="true" t="shared" si="19" ref="C26:U26">C25-C27</f>
        <v>167.80000000000018</v>
      </c>
      <c r="D26" s="94">
        <f t="shared" si="19"/>
        <v>197.99999999999994</v>
      </c>
      <c r="E26" s="94">
        <f t="shared" si="19"/>
        <v>97.49999999999991</v>
      </c>
      <c r="F26" s="93">
        <f t="shared" si="19"/>
        <v>173.8000000000001</v>
      </c>
      <c r="G26" s="94">
        <f t="shared" si="19"/>
        <v>233.6999999999999</v>
      </c>
      <c r="H26" s="94">
        <f t="shared" si="19"/>
        <v>166.90000000000006</v>
      </c>
      <c r="I26" s="95">
        <f t="shared" si="19"/>
        <v>-128.99999999999997</v>
      </c>
      <c r="J26" s="94">
        <f t="shared" si="19"/>
        <v>80.79999999999987</v>
      </c>
      <c r="K26" s="94">
        <f t="shared" si="19"/>
        <v>182.7</v>
      </c>
      <c r="L26" s="94">
        <f t="shared" si="19"/>
        <v>210.79999999999995</v>
      </c>
      <c r="M26" s="94">
        <f t="shared" si="19"/>
        <v>120.7999999999999</v>
      </c>
      <c r="N26" s="93">
        <f t="shared" si="19"/>
        <v>177.49999999999997</v>
      </c>
      <c r="O26" s="94">
        <f t="shared" si="19"/>
        <v>191.5</v>
      </c>
      <c r="P26" s="94">
        <f t="shared" si="19"/>
        <v>192.39999999999986</v>
      </c>
      <c r="Q26" s="95">
        <f t="shared" si="19"/>
        <v>191.7</v>
      </c>
      <c r="R26" s="93">
        <f t="shared" si="19"/>
        <v>212.49999999999997</v>
      </c>
      <c r="S26" s="94">
        <f t="shared" si="19"/>
        <v>233.89999999999995</v>
      </c>
      <c r="T26" s="94">
        <f t="shared" si="19"/>
        <v>220.09999999999997</v>
      </c>
      <c r="U26" s="95">
        <f t="shared" si="19"/>
        <v>213.60000000000002</v>
      </c>
      <c r="V26" s="93">
        <f aca="true" t="shared" si="20" ref="V26:AA26">V25-V27</f>
        <v>271.50000000000006</v>
      </c>
      <c r="W26" s="94">
        <f t="shared" si="20"/>
        <v>167.59999999999997</v>
      </c>
      <c r="X26" s="94">
        <f t="shared" si="20"/>
        <v>203.19999999999985</v>
      </c>
      <c r="Y26" s="95">
        <f t="shared" si="20"/>
        <v>190.00000000000003</v>
      </c>
      <c r="Z26" s="93">
        <f t="shared" si="20"/>
        <v>259.69999999999993</v>
      </c>
      <c r="AA26" s="94">
        <f t="shared" si="20"/>
        <v>216.89999999999995</v>
      </c>
      <c r="AB26" s="94">
        <f aca="true" t="shared" si="21" ref="AB26:AH26">AB25-AB27</f>
        <v>234.40000000000026</v>
      </c>
      <c r="AC26" s="95">
        <f t="shared" si="21"/>
        <v>250.5</v>
      </c>
      <c r="AD26" s="93">
        <f t="shared" si="21"/>
        <v>254.59999999999982</v>
      </c>
      <c r="AE26" s="94">
        <f t="shared" si="21"/>
        <v>282.3</v>
      </c>
      <c r="AF26" s="94">
        <f t="shared" si="21"/>
        <v>273.00000000000017</v>
      </c>
      <c r="AG26" s="94">
        <f>AG25-AG27</f>
        <v>230.79999999999998</v>
      </c>
      <c r="AH26" s="93">
        <f t="shared" si="21"/>
        <v>261</v>
      </c>
      <c r="AI26" s="94">
        <f aca="true" t="shared" si="22" ref="AI26:AQ26">AI25-AI27</f>
        <v>344.6</v>
      </c>
      <c r="AJ26" s="94">
        <f t="shared" si="22"/>
        <v>315.70000000000005</v>
      </c>
      <c r="AK26" s="94">
        <f t="shared" si="22"/>
        <v>205.70000000000002</v>
      </c>
      <c r="AL26" s="93">
        <f t="shared" si="22"/>
        <v>259.2</v>
      </c>
      <c r="AM26" s="94">
        <f t="shared" si="22"/>
        <v>406.9000000000001</v>
      </c>
      <c r="AN26" s="94">
        <f t="shared" si="22"/>
        <v>332.0000000000002</v>
      </c>
      <c r="AO26" s="94">
        <f t="shared" si="22"/>
        <v>254.89999999999998</v>
      </c>
      <c r="AP26" s="93">
        <f t="shared" si="22"/>
        <v>300.20000000000005</v>
      </c>
      <c r="AQ26" s="94">
        <f t="shared" si="22"/>
        <v>360.3999999999997</v>
      </c>
    </row>
    <row r="27" spans="1:43" ht="12.75">
      <c r="A27" s="89" t="s">
        <v>21</v>
      </c>
      <c r="B27" s="39">
        <v>3.4</v>
      </c>
      <c r="C27" s="40">
        <v>1.7</v>
      </c>
      <c r="D27" s="40">
        <v>1</v>
      </c>
      <c r="E27" s="40">
        <v>0</v>
      </c>
      <c r="F27" s="39">
        <v>0</v>
      </c>
      <c r="G27" s="40">
        <v>0</v>
      </c>
      <c r="H27" s="40">
        <v>0</v>
      </c>
      <c r="I27" s="41">
        <v>0</v>
      </c>
      <c r="J27" s="39">
        <v>0</v>
      </c>
      <c r="K27" s="40">
        <v>0</v>
      </c>
      <c r="L27" s="40">
        <v>0</v>
      </c>
      <c r="M27" s="41">
        <v>0</v>
      </c>
      <c r="N27" s="39">
        <v>0</v>
      </c>
      <c r="O27" s="40">
        <v>0</v>
      </c>
      <c r="P27" s="40">
        <v>0</v>
      </c>
      <c r="Q27" s="41">
        <v>0</v>
      </c>
      <c r="R27" s="39">
        <v>0</v>
      </c>
      <c r="S27" s="40">
        <v>0</v>
      </c>
      <c r="T27" s="40">
        <v>0</v>
      </c>
      <c r="U27" s="41">
        <v>0</v>
      </c>
      <c r="V27" s="39">
        <v>0</v>
      </c>
      <c r="W27" s="40">
        <v>0</v>
      </c>
      <c r="X27" s="40">
        <v>0</v>
      </c>
      <c r="Y27" s="41">
        <v>0</v>
      </c>
      <c r="Z27" s="39">
        <v>0</v>
      </c>
      <c r="AA27" s="40">
        <v>0</v>
      </c>
      <c r="AB27" s="40">
        <v>0</v>
      </c>
      <c r="AC27" s="41">
        <v>0</v>
      </c>
      <c r="AD27" s="39">
        <v>0</v>
      </c>
      <c r="AE27" s="40">
        <v>0.1</v>
      </c>
      <c r="AF27" s="40">
        <v>0.1</v>
      </c>
      <c r="AG27" s="41">
        <v>-0.1</v>
      </c>
      <c r="AH27" s="39">
        <v>0</v>
      </c>
      <c r="AI27" s="40">
        <v>0.1</v>
      </c>
      <c r="AJ27" s="40">
        <v>0</v>
      </c>
      <c r="AK27" s="41">
        <v>0</v>
      </c>
      <c r="AL27" s="39">
        <v>0</v>
      </c>
      <c r="AM27" s="40">
        <v>0</v>
      </c>
      <c r="AN27" s="40">
        <v>0</v>
      </c>
      <c r="AO27" s="41">
        <v>0.1</v>
      </c>
      <c r="AP27" s="39">
        <v>0</v>
      </c>
      <c r="AQ27" s="40">
        <v>0</v>
      </c>
    </row>
    <row r="28" spans="2:42" ht="12.7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86"/>
      <c r="AG28" s="86"/>
      <c r="AH28" s="86"/>
      <c r="AI28" s="96"/>
      <c r="AJ28" s="96"/>
      <c r="AK28" s="96"/>
      <c r="AL28" s="86"/>
      <c r="AM28" s="96"/>
      <c r="AN28" s="96"/>
      <c r="AO28" s="96"/>
      <c r="AP28" s="96"/>
    </row>
    <row r="29" spans="1:38" s="25" customFormat="1" ht="12.75">
      <c r="A29" s="249"/>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F29" s="86"/>
      <c r="AG29" s="86"/>
      <c r="AH29" s="86"/>
      <c r="AL29" s="86"/>
    </row>
    <row r="30" spans="21:43" s="25" customFormat="1" ht="11.25">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row>
    <row r="31" spans="2:43" s="25" customFormat="1" ht="11.25">
      <c r="B31" s="250"/>
      <c r="C31" s="250"/>
      <c r="D31" s="250"/>
      <c r="E31" s="250"/>
      <c r="F31" s="250"/>
      <c r="G31" s="250"/>
      <c r="H31" s="250"/>
      <c r="I31" s="250"/>
      <c r="J31" s="250"/>
      <c r="K31" s="250"/>
      <c r="L31" s="250"/>
      <c r="M31" s="250"/>
      <c r="N31" s="250"/>
      <c r="O31" s="250"/>
      <c r="P31" s="250"/>
      <c r="Q31" s="250"/>
      <c r="R31" s="250"/>
      <c r="S31" s="250"/>
      <c r="T31" s="250"/>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row>
    <row r="32" spans="1:43" ht="12.75">
      <c r="A32" s="3"/>
      <c r="B32" s="96"/>
      <c r="C32" s="96"/>
      <c r="D32" s="96"/>
      <c r="E32" s="96"/>
      <c r="F32" s="96"/>
      <c r="G32" s="96"/>
      <c r="H32" s="96"/>
      <c r="I32" s="96"/>
      <c r="J32" s="96"/>
      <c r="K32" s="96"/>
      <c r="L32" s="96"/>
      <c r="M32" s="96"/>
      <c r="N32" s="96"/>
      <c r="O32" s="96"/>
      <c r="P32" s="96"/>
      <c r="Q32" s="96"/>
      <c r="R32" s="96"/>
      <c r="S32" s="96"/>
      <c r="T32" s="96"/>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row>
    <row r="33" spans="1:43" ht="12.75">
      <c r="A33" s="3"/>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row>
    <row r="34" spans="1:38" ht="12.75">
      <c r="A34" s="3"/>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F34" s="86"/>
      <c r="AG34" s="86"/>
      <c r="AH34" s="86"/>
      <c r="AL34" s="86"/>
    </row>
    <row r="35" spans="1:38" ht="12.75">
      <c r="A35" s="3"/>
      <c r="AF35" s="86"/>
      <c r="AG35" s="86"/>
      <c r="AH35" s="86"/>
      <c r="AL35" s="86"/>
    </row>
    <row r="36" spans="2:38" s="25" customFormat="1" ht="12.75">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F36" s="86"/>
      <c r="AG36" s="86"/>
      <c r="AH36" s="86"/>
      <c r="AL36" s="86"/>
    </row>
    <row r="37" spans="2:38" s="25" customFormat="1" ht="12.75">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F37" s="86"/>
      <c r="AG37" s="86"/>
      <c r="AH37" s="86"/>
      <c r="AL37" s="86"/>
    </row>
    <row r="38" spans="2:38" s="25" customFormat="1" ht="12.75">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F38" s="86"/>
      <c r="AG38" s="86"/>
      <c r="AH38" s="86"/>
      <c r="AL38" s="86"/>
    </row>
    <row r="39" spans="1:38" ht="12.75">
      <c r="A39" s="3"/>
      <c r="AF39" s="86"/>
      <c r="AG39" s="86"/>
      <c r="AH39" s="86"/>
      <c r="AL39" s="86"/>
    </row>
    <row r="40" spans="2:38" s="25" customFormat="1" ht="12.75">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F40" s="86"/>
      <c r="AG40" s="86"/>
      <c r="AH40" s="86"/>
      <c r="AL40" s="86"/>
    </row>
    <row r="41" spans="2:38" s="25" customFormat="1" ht="12.75">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F41" s="86"/>
      <c r="AG41" s="86"/>
      <c r="AH41" s="86"/>
      <c r="AL41" s="86"/>
    </row>
    <row r="42" spans="1:38" ht="12.75">
      <c r="A42" s="3"/>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F42" s="86"/>
      <c r="AG42" s="86"/>
      <c r="AH42" s="86"/>
      <c r="AL42" s="86"/>
    </row>
    <row r="43" spans="1:38" ht="12.75">
      <c r="A43" s="3"/>
      <c r="AF43" s="86"/>
      <c r="AG43" s="86"/>
      <c r="AH43" s="86"/>
      <c r="AL43" s="86"/>
    </row>
    <row r="44" spans="1:38" ht="12.75">
      <c r="A44" s="3"/>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F44" s="86"/>
      <c r="AG44" s="86"/>
      <c r="AH44" s="86"/>
      <c r="AL44" s="86"/>
    </row>
    <row r="45" spans="1:38" ht="12.75">
      <c r="A45" s="3"/>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F45" s="86"/>
      <c r="AG45" s="86"/>
      <c r="AH45" s="86"/>
      <c r="AL45" s="86"/>
    </row>
    <row r="46" spans="1:38" ht="12.75">
      <c r="A46" s="3"/>
      <c r="AF46" s="86"/>
      <c r="AG46" s="86"/>
      <c r="AH46" s="86"/>
      <c r="AL46" s="86"/>
    </row>
    <row r="47" spans="1:38" ht="12.75">
      <c r="A47" s="3"/>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F47" s="86"/>
      <c r="AG47" s="86"/>
      <c r="AH47" s="86"/>
      <c r="AL47" s="86"/>
    </row>
    <row r="48" spans="1:38" ht="12.75">
      <c r="A48" s="3"/>
      <c r="AF48" s="86"/>
      <c r="AG48" s="86"/>
      <c r="AH48" s="86"/>
      <c r="AL48" s="86"/>
    </row>
    <row r="49" spans="1:38" ht="12.75">
      <c r="A49" s="3"/>
      <c r="AF49" s="86"/>
      <c r="AG49" s="86"/>
      <c r="AH49" s="86"/>
      <c r="AL49" s="86"/>
    </row>
    <row r="50" spans="1:38" ht="12.75">
      <c r="A50" s="3"/>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F50" s="86"/>
      <c r="AG50" s="86"/>
      <c r="AH50" s="86"/>
      <c r="AL50" s="86"/>
    </row>
    <row r="51" spans="1:38" ht="12.75">
      <c r="A51" s="3"/>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F51" s="86"/>
      <c r="AG51" s="86"/>
      <c r="AH51" s="86"/>
      <c r="AL51" s="86"/>
    </row>
    <row r="52" spans="1:38" ht="12.75">
      <c r="A52" s="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F52" s="86"/>
      <c r="AG52" s="86"/>
      <c r="AH52" s="86"/>
      <c r="AL52" s="86"/>
    </row>
    <row r="53" spans="1:38" ht="12.75">
      <c r="A53" s="3"/>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F53" s="86"/>
      <c r="AG53" s="86"/>
      <c r="AH53" s="86"/>
      <c r="AL53" s="86"/>
    </row>
    <row r="54" spans="1:38" ht="12.75">
      <c r="A54" s="3"/>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F54" s="86"/>
      <c r="AG54" s="86"/>
      <c r="AH54" s="86"/>
      <c r="AL54" s="86"/>
    </row>
    <row r="55" spans="1:38" ht="12.75">
      <c r="A55" s="3"/>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F55" s="86"/>
      <c r="AG55" s="86"/>
      <c r="AH55" s="86"/>
      <c r="AL55" s="86"/>
    </row>
    <row r="56" spans="1:38" ht="12.75">
      <c r="A56" s="3"/>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F56" s="86"/>
      <c r="AG56" s="86"/>
      <c r="AH56" s="86"/>
      <c r="AL56" s="86"/>
    </row>
    <row r="57" spans="1:38" ht="12.75">
      <c r="A57" s="3"/>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F57" s="86"/>
      <c r="AG57" s="86"/>
      <c r="AH57" s="86"/>
      <c r="AL57" s="86"/>
    </row>
    <row r="58" spans="1:38" ht="12.75">
      <c r="A58" s="3"/>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F58" s="86"/>
      <c r="AG58" s="86"/>
      <c r="AH58" s="86"/>
      <c r="AL58" s="86"/>
    </row>
    <row r="59" spans="1:38" ht="12.75">
      <c r="A59" s="3"/>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F59" s="86"/>
      <c r="AG59" s="86"/>
      <c r="AH59" s="86"/>
      <c r="AL59" s="86"/>
    </row>
    <row r="60" spans="1:38" ht="12.75">
      <c r="A60" s="3"/>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F60" s="86"/>
      <c r="AG60" s="86"/>
      <c r="AH60" s="86"/>
      <c r="AL60" s="86"/>
    </row>
    <row r="61" spans="1:38" ht="12.75">
      <c r="A61" s="3"/>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F61" s="86"/>
      <c r="AG61" s="86"/>
      <c r="AH61" s="86"/>
      <c r="AL61" s="86"/>
    </row>
    <row r="62" spans="1:38" ht="12.75">
      <c r="A62" s="3"/>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F62" s="86"/>
      <c r="AG62" s="86"/>
      <c r="AH62" s="86"/>
      <c r="AL62" s="86"/>
    </row>
    <row r="63" spans="2:38" ht="12.7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F63" s="86"/>
      <c r="AG63" s="86"/>
      <c r="AH63" s="86"/>
      <c r="AL63" s="86"/>
    </row>
    <row r="64" spans="32:38" ht="12.75">
      <c r="AF64" s="86"/>
      <c r="AG64" s="86"/>
      <c r="AH64" s="86"/>
      <c r="AL64" s="86"/>
    </row>
    <row r="65" spans="32:38" ht="12.75">
      <c r="AF65" s="86"/>
      <c r="AG65" s="86"/>
      <c r="AH65" s="86"/>
      <c r="AL65" s="86"/>
    </row>
    <row r="66" spans="1:38" ht="12.75">
      <c r="A66" s="3"/>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F66" s="86"/>
      <c r="AG66" s="86"/>
      <c r="AH66" s="86"/>
      <c r="AL66" s="86"/>
    </row>
    <row r="67" spans="1:38" ht="12.75">
      <c r="A67" s="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F67" s="86"/>
      <c r="AG67" s="86"/>
      <c r="AH67" s="86"/>
      <c r="AL67" s="86"/>
    </row>
    <row r="68" spans="32:38" ht="12.75">
      <c r="AF68" s="86"/>
      <c r="AG68" s="86"/>
      <c r="AH68" s="86"/>
      <c r="AL68" s="86"/>
    </row>
    <row r="69" spans="1:38" ht="12.75">
      <c r="A69" s="3"/>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F69" s="86"/>
      <c r="AG69" s="86"/>
      <c r="AH69" s="86"/>
      <c r="AL69" s="86"/>
    </row>
    <row r="70" spans="2:38" ht="12.7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F70" s="86"/>
      <c r="AG70" s="86"/>
      <c r="AH70" s="86"/>
      <c r="AL70" s="86"/>
    </row>
    <row r="71" spans="26:42" ht="12.75">
      <c r="Z71" s="96"/>
      <c r="AA71" s="96"/>
      <c r="AB71" s="96"/>
      <c r="AC71" s="96"/>
      <c r="AD71" s="96"/>
      <c r="AE71" s="96"/>
      <c r="AF71" s="96"/>
      <c r="AI71" s="96"/>
      <c r="AJ71" s="96"/>
      <c r="AK71" s="96"/>
      <c r="AM71" s="96"/>
      <c r="AN71" s="96"/>
      <c r="AO71" s="96"/>
      <c r="AP71" s="96"/>
    </row>
    <row r="72" spans="26:30" ht="12.75">
      <c r="Z72" s="250"/>
      <c r="AA72" s="250"/>
      <c r="AB72" s="250"/>
      <c r="AC72" s="250"/>
      <c r="AD72" s="250"/>
    </row>
    <row r="73" spans="1:30" s="25" customFormat="1" ht="11.25">
      <c r="A73" s="249"/>
      <c r="Z73" s="250"/>
      <c r="AA73" s="250"/>
      <c r="AB73" s="250"/>
      <c r="AC73" s="250"/>
      <c r="AD73" s="250"/>
    </row>
    <row r="74" spans="1:42" s="25" customFormat="1" ht="11.25">
      <c r="A74" s="249"/>
      <c r="Z74" s="250"/>
      <c r="AA74" s="250"/>
      <c r="AB74" s="250"/>
      <c r="AC74" s="250"/>
      <c r="AD74" s="250"/>
      <c r="AE74" s="250"/>
      <c r="AF74" s="250"/>
      <c r="AI74" s="250"/>
      <c r="AJ74" s="250"/>
      <c r="AK74" s="250"/>
      <c r="AM74" s="250"/>
      <c r="AN74" s="250"/>
      <c r="AO74" s="250"/>
      <c r="AP74" s="250"/>
    </row>
    <row r="75" spans="1:30" s="25" customFormat="1" ht="11.25">
      <c r="A75" s="249"/>
      <c r="Z75" s="250"/>
      <c r="AA75" s="250"/>
      <c r="AB75" s="250"/>
      <c r="AC75" s="250"/>
      <c r="AD75" s="250"/>
    </row>
    <row r="76" spans="1:30" s="25" customFormat="1" ht="11.25">
      <c r="A76" s="249"/>
      <c r="Z76" s="250"/>
      <c r="AA76" s="250"/>
      <c r="AB76" s="250"/>
      <c r="AC76" s="250"/>
      <c r="AD76" s="250"/>
    </row>
    <row r="77" spans="26:42" ht="12.75">
      <c r="Z77" s="96"/>
      <c r="AA77" s="96"/>
      <c r="AB77" s="96"/>
      <c r="AC77" s="96"/>
      <c r="AD77" s="96"/>
      <c r="AE77" s="96"/>
      <c r="AF77" s="96"/>
      <c r="AG77" s="96"/>
      <c r="AH77" s="96"/>
      <c r="AI77" s="96"/>
      <c r="AJ77" s="96"/>
      <c r="AK77" s="96"/>
      <c r="AL77" s="96"/>
      <c r="AM77" s="96"/>
      <c r="AN77" s="96"/>
      <c r="AO77" s="96"/>
      <c r="AP77" s="96"/>
    </row>
    <row r="78" spans="26:42" ht="12.75">
      <c r="Z78" s="96"/>
      <c r="AA78" s="96"/>
      <c r="AB78" s="96"/>
      <c r="AC78" s="96"/>
      <c r="AD78" s="96"/>
      <c r="AE78" s="96"/>
      <c r="AF78" s="96"/>
      <c r="AG78" s="96"/>
      <c r="AH78" s="96"/>
      <c r="AI78" s="96"/>
      <c r="AJ78" s="96"/>
      <c r="AK78" s="96"/>
      <c r="AL78" s="96"/>
      <c r="AM78" s="96"/>
      <c r="AN78" s="96"/>
      <c r="AO78" s="96"/>
      <c r="AP78" s="96"/>
    </row>
    <row r="79" spans="26:42" ht="12.75">
      <c r="Z79" s="96"/>
      <c r="AA79" s="96"/>
      <c r="AB79" s="96"/>
      <c r="AC79" s="96"/>
      <c r="AD79" s="96"/>
      <c r="AE79" s="96"/>
      <c r="AF79" s="96"/>
      <c r="AG79" s="96"/>
      <c r="AH79" s="96"/>
      <c r="AI79" s="96"/>
      <c r="AJ79" s="96"/>
      <c r="AK79" s="96"/>
      <c r="AL79" s="96"/>
      <c r="AM79" s="96"/>
      <c r="AN79" s="96"/>
      <c r="AO79" s="96"/>
      <c r="AP79" s="96"/>
    </row>
  </sheetData>
  <sheetProtection/>
  <mergeCells count="12">
    <mergeCell ref="R2:U2"/>
    <mergeCell ref="AL2:AO2"/>
    <mergeCell ref="AP2:AQ2"/>
    <mergeCell ref="A2:A3"/>
    <mergeCell ref="B2:E2"/>
    <mergeCell ref="F2:I2"/>
    <mergeCell ref="J2:M2"/>
    <mergeCell ref="N2:Q2"/>
    <mergeCell ref="AD2:AG2"/>
    <mergeCell ref="Z2:AC2"/>
    <mergeCell ref="V2:Y2"/>
    <mergeCell ref="AH2:A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0" r:id="rId1"/>
  <ignoredErrors>
    <ignoredError sqref="B16:AC16"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Q19"/>
  <sheetViews>
    <sheetView showGridLines="0" view="pageBreakPreview" zoomScaleSheetLayoutView="100" zoomScalePageLayoutView="80" workbookViewId="0" topLeftCell="A1">
      <pane xSplit="1" ySplit="3" topLeftCell="N4" activePane="bottomRight" state="frozen"/>
      <selection pane="topLeft" activeCell="B2" sqref="B2:B3"/>
      <selection pane="topRight" activeCell="B2" sqref="B2:B3"/>
      <selection pane="bottomLeft" activeCell="B2" sqref="B2:B3"/>
      <selection pane="bottomRight" activeCell="O34" sqref="O34"/>
    </sheetView>
  </sheetViews>
  <sheetFormatPr defaultColWidth="8.875" defaultRowHeight="12.75"/>
  <cols>
    <col min="1" max="1" width="50.375" style="2" customWidth="1"/>
    <col min="2" max="8" width="5.625" style="3" bestFit="1" customWidth="1"/>
    <col min="9" max="9" width="6.125" style="3" bestFit="1" customWidth="1"/>
    <col min="10" max="23" width="5.625" style="3" bestFit="1" customWidth="1"/>
    <col min="24" max="33" width="5.625" style="3" customWidth="1"/>
    <col min="34" max="34" width="4.875" style="3" bestFit="1" customWidth="1"/>
    <col min="35" max="42" width="6.00390625" style="3" customWidth="1"/>
    <col min="43" max="43" width="5.625" style="3" customWidth="1"/>
    <col min="44" max="16384" width="8.875" style="3" customWidth="1"/>
  </cols>
  <sheetData>
    <row r="1" ht="12.75">
      <c r="A1" s="316" t="s">
        <v>358</v>
      </c>
    </row>
    <row r="2" spans="1:43" ht="12.75" customHeight="1">
      <c r="A2" s="332" t="s">
        <v>254</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34">
        <v>2014</v>
      </c>
      <c r="AE2" s="335"/>
      <c r="AF2" s="335"/>
      <c r="AG2" s="335"/>
      <c r="AH2" s="334">
        <v>2015</v>
      </c>
      <c r="AI2" s="335"/>
      <c r="AJ2" s="335"/>
      <c r="AK2" s="335"/>
      <c r="AL2" s="334">
        <v>2016</v>
      </c>
      <c r="AM2" s="335"/>
      <c r="AN2" s="335"/>
      <c r="AO2" s="335"/>
      <c r="AP2" s="334">
        <v>2017</v>
      </c>
      <c r="AQ2" s="335">
        <v>2017</v>
      </c>
    </row>
    <row r="3" spans="1:43" s="4" customFormat="1" ht="33.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P3" s="34" t="s">
        <v>0</v>
      </c>
      <c r="AQ3" s="35" t="s">
        <v>1</v>
      </c>
    </row>
    <row r="4" spans="1:43"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5"/>
      <c r="AP4" s="16"/>
      <c r="AQ4" s="5"/>
    </row>
    <row r="5" spans="1:43" s="7" customFormat="1" ht="12.75">
      <c r="A5" s="37" t="s">
        <v>23</v>
      </c>
      <c r="B5" s="46">
        <f aca="true" t="shared" si="0" ref="B5:W5">SUM(B6:B9)</f>
        <v>219.23446177487298</v>
      </c>
      <c r="C5" s="47">
        <f t="shared" si="0"/>
        <v>212.83446177487298</v>
      </c>
      <c r="D5" s="47">
        <f t="shared" si="0"/>
        <v>221.734461774873</v>
      </c>
      <c r="E5" s="47">
        <f t="shared" si="0"/>
        <v>192.534461774873</v>
      </c>
      <c r="F5" s="46">
        <f t="shared" si="0"/>
        <v>285.24199121427245</v>
      </c>
      <c r="G5" s="47">
        <f t="shared" si="0"/>
        <v>273.34199121427247</v>
      </c>
      <c r="H5" s="47">
        <f t="shared" si="0"/>
        <v>277.34199121427247</v>
      </c>
      <c r="I5" s="48">
        <f t="shared" si="0"/>
        <v>34.441991214272434</v>
      </c>
      <c r="J5" s="46">
        <f t="shared" si="0"/>
        <v>263.01495819501633</v>
      </c>
      <c r="K5" s="47">
        <f t="shared" si="0"/>
        <v>335.11495819501636</v>
      </c>
      <c r="L5" s="47">
        <f t="shared" si="0"/>
        <v>367.2149581950164</v>
      </c>
      <c r="M5" s="48">
        <f t="shared" si="0"/>
        <v>282.81495819501635</v>
      </c>
      <c r="N5" s="46">
        <f t="shared" si="0"/>
        <v>353.233829208522</v>
      </c>
      <c r="O5" s="47">
        <f t="shared" si="0"/>
        <v>321.433829208522</v>
      </c>
      <c r="P5" s="47">
        <f t="shared" si="0"/>
        <v>333.53382920852204</v>
      </c>
      <c r="Q5" s="48">
        <f t="shared" si="0"/>
        <v>311.93382920852207</v>
      </c>
      <c r="R5" s="46">
        <f t="shared" si="0"/>
        <v>352.35273582985053</v>
      </c>
      <c r="S5" s="47">
        <f t="shared" si="0"/>
        <v>357.9527358298505</v>
      </c>
      <c r="T5" s="47">
        <f t="shared" si="0"/>
        <v>358.4527358298505</v>
      </c>
      <c r="U5" s="48">
        <f t="shared" si="0"/>
        <v>376.4527358298505</v>
      </c>
      <c r="V5" s="46">
        <f t="shared" si="0"/>
        <v>429.07316013128394</v>
      </c>
      <c r="W5" s="47">
        <f t="shared" si="0"/>
        <v>381.473160131284</v>
      </c>
      <c r="X5" s="247">
        <f aca="true" t="shared" si="1" ref="X5:AQ5">SUM(X6:X9)</f>
        <v>376.87316013128395</v>
      </c>
      <c r="Y5" s="248">
        <f t="shared" si="1"/>
        <v>376.9731601312839</v>
      </c>
      <c r="Z5" s="46">
        <f t="shared" si="1"/>
        <v>415.3307289845963</v>
      </c>
      <c r="AA5" s="47">
        <f t="shared" si="1"/>
        <v>393.14739771935047</v>
      </c>
      <c r="AB5" s="47">
        <f t="shared" si="1"/>
        <v>382.87190215539556</v>
      </c>
      <c r="AC5" s="48">
        <f>SUM(AC6:AC9)</f>
        <v>383.94748555135504</v>
      </c>
      <c r="AD5" s="47">
        <f>SUM(AD6:AD9)</f>
        <v>398.59999999999997</v>
      </c>
      <c r="AE5" s="247">
        <f>SUM(AE6:AE9)</f>
        <v>400.9</v>
      </c>
      <c r="AF5" s="247">
        <f t="shared" si="1"/>
        <v>404.2</v>
      </c>
      <c r="AG5" s="247">
        <f t="shared" si="1"/>
        <v>397.70000000000005</v>
      </c>
      <c r="AH5" s="46">
        <f t="shared" si="1"/>
        <v>426.40000000000003</v>
      </c>
      <c r="AI5" s="247">
        <f t="shared" si="1"/>
        <v>411.8</v>
      </c>
      <c r="AJ5" s="247">
        <f t="shared" si="1"/>
        <v>406.5</v>
      </c>
      <c r="AK5" s="247">
        <f t="shared" si="1"/>
        <v>445.1000000000001</v>
      </c>
      <c r="AL5" s="46">
        <f>SUM(AL6:AL9)</f>
        <v>448.20000000000005</v>
      </c>
      <c r="AM5" s="247">
        <f>SUM(AM6:AM9)</f>
        <v>436.90000000000003</v>
      </c>
      <c r="AN5" s="247">
        <f>SUM(AN6:AN9)</f>
        <v>464.2</v>
      </c>
      <c r="AO5" s="247">
        <f>SUM(AO6:AO9)</f>
        <v>499.4</v>
      </c>
      <c r="AP5" s="46">
        <f>SUM(AP6:AP9)</f>
        <v>500.29999999999995</v>
      </c>
      <c r="AQ5" s="247">
        <f t="shared" si="1"/>
        <v>512.1</v>
      </c>
    </row>
    <row r="6" spans="1:43" s="4" customFormat="1" ht="12.75">
      <c r="A6" s="87" t="s">
        <v>8</v>
      </c>
      <c r="B6" s="39">
        <v>98.1</v>
      </c>
      <c r="C6" s="40">
        <v>102.6</v>
      </c>
      <c r="D6" s="40">
        <v>105.8</v>
      </c>
      <c r="E6" s="40">
        <v>109.4</v>
      </c>
      <c r="F6" s="39">
        <v>129.1</v>
      </c>
      <c r="G6" s="40">
        <v>169.8</v>
      </c>
      <c r="H6" s="40">
        <v>150.3</v>
      </c>
      <c r="I6" s="41">
        <v>220.5</v>
      </c>
      <c r="J6" s="39">
        <v>188.1</v>
      </c>
      <c r="K6" s="40">
        <v>146</v>
      </c>
      <c r="L6" s="40">
        <v>224.9</v>
      </c>
      <c r="M6" s="41">
        <v>201.4</v>
      </c>
      <c r="N6" s="39">
        <v>212.4</v>
      </c>
      <c r="O6" s="40">
        <v>203.1</v>
      </c>
      <c r="P6" s="40">
        <v>211.1</v>
      </c>
      <c r="Q6" s="41">
        <v>185.2</v>
      </c>
      <c r="R6" s="39">
        <v>196.6</v>
      </c>
      <c r="S6" s="40">
        <v>213.7</v>
      </c>
      <c r="T6" s="40">
        <v>243.5</v>
      </c>
      <c r="U6" s="41">
        <v>242.8</v>
      </c>
      <c r="V6" s="39">
        <v>258.72617616226887</v>
      </c>
      <c r="W6" s="40">
        <v>248.3261761622689</v>
      </c>
      <c r="X6" s="68">
        <v>239.3261761622689</v>
      </c>
      <c r="Y6" s="69">
        <v>256.3261761622689</v>
      </c>
      <c r="Z6" s="39">
        <v>233.6196325650003</v>
      </c>
      <c r="AA6" s="40">
        <v>235.29098005006938</v>
      </c>
      <c r="AB6" s="40">
        <v>244.47208093057918</v>
      </c>
      <c r="AC6" s="41">
        <v>248.55785797052508</v>
      </c>
      <c r="AD6" s="40">
        <v>250.5</v>
      </c>
      <c r="AE6" s="68">
        <v>235.5</v>
      </c>
      <c r="AF6" s="68">
        <v>234.6</v>
      </c>
      <c r="AG6" s="68">
        <v>241.7</v>
      </c>
      <c r="AH6" s="39">
        <v>224.6</v>
      </c>
      <c r="AI6" s="68">
        <v>220.9</v>
      </c>
      <c r="AJ6" s="68">
        <v>239.8</v>
      </c>
      <c r="AK6" s="68">
        <f>265.3-0.4</f>
        <v>264.90000000000003</v>
      </c>
      <c r="AL6" s="39">
        <v>265.3</v>
      </c>
      <c r="AM6" s="68">
        <v>261.3</v>
      </c>
      <c r="AN6" s="68">
        <f>275.7-1.2</f>
        <v>274.5</v>
      </c>
      <c r="AO6" s="68">
        <v>286</v>
      </c>
      <c r="AP6" s="39">
        <v>309.8</v>
      </c>
      <c r="AQ6" s="68">
        <v>319.6</v>
      </c>
    </row>
    <row r="7" spans="1:43" s="7" customFormat="1" ht="12.75">
      <c r="A7" s="87" t="s">
        <v>11</v>
      </c>
      <c r="B7" s="39">
        <v>93.13446177487299</v>
      </c>
      <c r="C7" s="40">
        <v>97.73446177487298</v>
      </c>
      <c r="D7" s="40">
        <v>96.63446177487299</v>
      </c>
      <c r="E7" s="40">
        <v>89.03446177487298</v>
      </c>
      <c r="F7" s="39">
        <v>83.64199121427244</v>
      </c>
      <c r="G7" s="40">
        <v>70.84199121427244</v>
      </c>
      <c r="H7" s="40">
        <v>88.74199121427245</v>
      </c>
      <c r="I7" s="41">
        <v>50.741991214272446</v>
      </c>
      <c r="J7" s="39">
        <v>91.31495819501635</v>
      </c>
      <c r="K7" s="40">
        <v>104.41495819501634</v>
      </c>
      <c r="L7" s="40">
        <v>97.31495819501635</v>
      </c>
      <c r="M7" s="41">
        <v>143.21495819501635</v>
      </c>
      <c r="N7" s="39">
        <v>115.13382920852204</v>
      </c>
      <c r="O7" s="40">
        <v>91.63382920852204</v>
      </c>
      <c r="P7" s="40">
        <v>98.63382920852204</v>
      </c>
      <c r="Q7" s="41">
        <v>163.73382920852205</v>
      </c>
      <c r="R7" s="39">
        <v>129.6527358298505</v>
      </c>
      <c r="S7" s="40">
        <v>140.05273582985052</v>
      </c>
      <c r="T7" s="40">
        <v>148.1527358298505</v>
      </c>
      <c r="U7" s="41">
        <v>135.7527358298505</v>
      </c>
      <c r="V7" s="39">
        <v>140.82925246575303</v>
      </c>
      <c r="W7" s="40">
        <v>145.92925246575302</v>
      </c>
      <c r="X7" s="68">
        <v>144.62925246575304</v>
      </c>
      <c r="Y7" s="69">
        <v>146.52925246575302</v>
      </c>
      <c r="Z7" s="39">
        <v>144.23266832407612</v>
      </c>
      <c r="AA7" s="40">
        <v>147.46675124953669</v>
      </c>
      <c r="AB7" s="40">
        <v>147.5657015459497</v>
      </c>
      <c r="AC7" s="41">
        <v>145.40456913211457</v>
      </c>
      <c r="AD7" s="40">
        <v>154.2</v>
      </c>
      <c r="AE7" s="68">
        <v>156.5</v>
      </c>
      <c r="AF7" s="68">
        <v>160.4</v>
      </c>
      <c r="AG7" s="68">
        <v>155.4</v>
      </c>
      <c r="AH7" s="39">
        <v>160.5</v>
      </c>
      <c r="AI7" s="68">
        <v>168.7</v>
      </c>
      <c r="AJ7" s="68">
        <v>157.1</v>
      </c>
      <c r="AK7" s="68">
        <f>167.8+0.1</f>
        <v>167.9</v>
      </c>
      <c r="AL7" s="39">
        <v>163.8</v>
      </c>
      <c r="AM7" s="68">
        <v>165.9</v>
      </c>
      <c r="AN7" s="68">
        <f>170.9+0.1</f>
        <v>171</v>
      </c>
      <c r="AO7" s="68">
        <v>183.4</v>
      </c>
      <c r="AP7" s="39">
        <v>185.1</v>
      </c>
      <c r="AQ7" s="68">
        <v>183.9</v>
      </c>
    </row>
    <row r="8" spans="1:43" s="7" customFormat="1" ht="12.75">
      <c r="A8" s="38" t="s">
        <v>24</v>
      </c>
      <c r="B8" s="39">
        <v>28</v>
      </c>
      <c r="C8" s="40">
        <v>12.5</v>
      </c>
      <c r="D8" s="40">
        <v>19.3</v>
      </c>
      <c r="E8" s="40">
        <v>-5.9</v>
      </c>
      <c r="F8" s="39">
        <v>72.5</v>
      </c>
      <c r="G8" s="40">
        <v>32.7</v>
      </c>
      <c r="H8" s="40">
        <v>38.3</v>
      </c>
      <c r="I8" s="41">
        <v>-236.8</v>
      </c>
      <c r="J8" s="39">
        <v>-16.4</v>
      </c>
      <c r="K8" s="40">
        <v>84.7</v>
      </c>
      <c r="L8" s="40">
        <v>45</v>
      </c>
      <c r="M8" s="41">
        <v>-61.8</v>
      </c>
      <c r="N8" s="39">
        <v>25.7</v>
      </c>
      <c r="O8" s="40">
        <v>26.7</v>
      </c>
      <c r="P8" s="40">
        <v>23.8</v>
      </c>
      <c r="Q8" s="41">
        <v>-37</v>
      </c>
      <c r="R8" s="39">
        <v>26.1</v>
      </c>
      <c r="S8" s="40">
        <f>4.2</f>
        <v>4.2</v>
      </c>
      <c r="T8" s="40">
        <v>-33.2</v>
      </c>
      <c r="U8" s="41">
        <v>-2.1</v>
      </c>
      <c r="V8" s="39">
        <v>29.51773150326202</v>
      </c>
      <c r="W8" s="40">
        <v>-12.782268496737979</v>
      </c>
      <c r="X8" s="68">
        <v>-7.082268496737978</v>
      </c>
      <c r="Y8" s="69">
        <v>-25.88226849673798</v>
      </c>
      <c r="Z8" s="39">
        <v>37.47842809551988</v>
      </c>
      <c r="AA8" s="40">
        <v>10.389666419744405</v>
      </c>
      <c r="AB8" s="40">
        <v>-9.165880321133324</v>
      </c>
      <c r="AC8" s="41">
        <v>-10.01494155128459</v>
      </c>
      <c r="AD8" s="40">
        <v>-6.1</v>
      </c>
      <c r="AE8" s="68">
        <v>8.9</v>
      </c>
      <c r="AF8" s="68">
        <v>9.2</v>
      </c>
      <c r="AG8" s="68">
        <v>0.6</v>
      </c>
      <c r="AH8" s="39">
        <v>41.3</v>
      </c>
      <c r="AI8" s="68">
        <v>22.2</v>
      </c>
      <c r="AJ8" s="68">
        <v>9.6</v>
      </c>
      <c r="AK8" s="68">
        <f>12.4-0.1</f>
        <v>12.3</v>
      </c>
      <c r="AL8" s="39">
        <v>19.1</v>
      </c>
      <c r="AM8" s="68">
        <v>9.7</v>
      </c>
      <c r="AN8" s="68">
        <f>19-0.3</f>
        <v>18.7</v>
      </c>
      <c r="AO8" s="68">
        <v>30</v>
      </c>
      <c r="AP8" s="39">
        <v>5.4</v>
      </c>
      <c r="AQ8" s="68">
        <v>8.6</v>
      </c>
    </row>
    <row r="9" spans="1:43" s="4" customFormat="1" ht="22.5" customHeight="1" hidden="1">
      <c r="A9" s="87" t="s">
        <v>25</v>
      </c>
      <c r="B9" s="39">
        <v>0</v>
      </c>
      <c r="C9" s="40">
        <v>0</v>
      </c>
      <c r="D9" s="40">
        <v>0</v>
      </c>
      <c r="E9" s="40">
        <v>0</v>
      </c>
      <c r="F9" s="39">
        <v>0</v>
      </c>
      <c r="G9" s="40">
        <v>0</v>
      </c>
      <c r="H9" s="40">
        <v>0</v>
      </c>
      <c r="I9" s="41">
        <v>0</v>
      </c>
      <c r="J9" s="39">
        <v>0</v>
      </c>
      <c r="K9" s="40">
        <v>0</v>
      </c>
      <c r="L9" s="40">
        <v>0</v>
      </c>
      <c r="M9" s="41">
        <v>0</v>
      </c>
      <c r="N9" s="39">
        <v>0</v>
      </c>
      <c r="O9" s="40">
        <v>0</v>
      </c>
      <c r="P9" s="40">
        <v>0</v>
      </c>
      <c r="Q9" s="41">
        <v>0</v>
      </c>
      <c r="R9" s="39">
        <v>0</v>
      </c>
      <c r="S9" s="40">
        <v>0</v>
      </c>
      <c r="T9" s="40">
        <v>0</v>
      </c>
      <c r="U9" s="41">
        <v>0</v>
      </c>
      <c r="V9" s="39">
        <v>0</v>
      </c>
      <c r="W9" s="40">
        <v>0</v>
      </c>
      <c r="X9" s="68">
        <v>0</v>
      </c>
      <c r="Y9" s="69">
        <v>0</v>
      </c>
      <c r="Z9" s="39">
        <v>0</v>
      </c>
      <c r="AA9" s="40">
        <v>0</v>
      </c>
      <c r="AB9" s="40">
        <v>0</v>
      </c>
      <c r="AC9" s="41">
        <v>0</v>
      </c>
      <c r="AD9" s="40">
        <v>0</v>
      </c>
      <c r="AE9" s="68">
        <v>0</v>
      </c>
      <c r="AF9" s="68">
        <v>0</v>
      </c>
      <c r="AG9" s="68">
        <v>0</v>
      </c>
      <c r="AH9" s="39">
        <v>0</v>
      </c>
      <c r="AI9" s="68">
        <v>0</v>
      </c>
      <c r="AJ9" s="68">
        <v>0</v>
      </c>
      <c r="AK9" s="68">
        <v>0</v>
      </c>
      <c r="AL9" s="39">
        <v>0</v>
      </c>
      <c r="AM9" s="68">
        <v>0</v>
      </c>
      <c r="AN9" s="68">
        <v>0</v>
      </c>
      <c r="AO9" s="68">
        <v>0</v>
      </c>
      <c r="AP9" s="39">
        <v>0</v>
      </c>
      <c r="AQ9" s="68">
        <v>0</v>
      </c>
    </row>
    <row r="10" spans="1:43" s="9" customFormat="1" ht="12.75">
      <c r="A10" s="97" t="s">
        <v>26</v>
      </c>
      <c r="B10" s="46">
        <f aca="true" t="shared" si="2" ref="B10:AQ10">SUM(B11:B13)</f>
        <v>122.83446177487298</v>
      </c>
      <c r="C10" s="47">
        <f t="shared" si="2"/>
        <v>126.33446177487298</v>
      </c>
      <c r="D10" s="47">
        <f t="shared" si="2"/>
        <v>130.53446177487297</v>
      </c>
      <c r="E10" s="47">
        <f t="shared" si="2"/>
        <v>130.33446177487298</v>
      </c>
      <c r="F10" s="46">
        <f t="shared" si="2"/>
        <v>133.34199121427244</v>
      </c>
      <c r="G10" s="47">
        <f t="shared" si="2"/>
        <v>138.34199121427244</v>
      </c>
      <c r="H10" s="47">
        <f t="shared" si="2"/>
        <v>157.24199121427245</v>
      </c>
      <c r="I10" s="48">
        <f t="shared" si="2"/>
        <v>110.04199121427244</v>
      </c>
      <c r="J10" s="46">
        <f t="shared" si="2"/>
        <v>136.51495819501636</v>
      </c>
      <c r="K10" s="47">
        <f t="shared" si="2"/>
        <v>137.41495819501634</v>
      </c>
      <c r="L10" s="47">
        <f t="shared" si="2"/>
        <v>143.91495819501637</v>
      </c>
      <c r="M10" s="48">
        <f t="shared" si="2"/>
        <v>121.01495819501636</v>
      </c>
      <c r="N10" s="46">
        <f t="shared" si="2"/>
        <v>144.93382920852207</v>
      </c>
      <c r="O10" s="47">
        <f t="shared" si="2"/>
        <v>149.33382920852205</v>
      </c>
      <c r="P10" s="47">
        <f t="shared" si="2"/>
        <v>146.73382920852205</v>
      </c>
      <c r="Q10" s="48">
        <f t="shared" si="2"/>
        <v>143.43382920852204</v>
      </c>
      <c r="R10" s="46">
        <f t="shared" si="2"/>
        <v>162.85273582985053</v>
      </c>
      <c r="S10" s="47">
        <f t="shared" si="2"/>
        <v>176.55273582985052</v>
      </c>
      <c r="T10" s="47">
        <f t="shared" si="2"/>
        <v>167.85273582985053</v>
      </c>
      <c r="U10" s="48">
        <f t="shared" si="2"/>
        <v>170.65273582985054</v>
      </c>
      <c r="V10" s="46">
        <f t="shared" si="2"/>
        <v>187.6994250497413</v>
      </c>
      <c r="W10" s="47">
        <f t="shared" si="2"/>
        <v>180.49566684775795</v>
      </c>
      <c r="X10" s="247">
        <f t="shared" si="2"/>
        <v>185.8000807076125</v>
      </c>
      <c r="Y10" s="248">
        <f t="shared" si="2"/>
        <v>187.38694549964663</v>
      </c>
      <c r="Z10" s="46">
        <f>SUM(Z11:Z13)</f>
        <v>180.3900959440234</v>
      </c>
      <c r="AA10" s="47">
        <f t="shared" si="2"/>
        <v>180.1690196030097</v>
      </c>
      <c r="AB10" s="47">
        <f t="shared" si="2"/>
        <v>177.1955593384593</v>
      </c>
      <c r="AC10" s="48">
        <f>SUM(AC11:AC13)</f>
        <v>176.39177659892943</v>
      </c>
      <c r="AD10" s="47">
        <f>SUM(AD11:AD13)</f>
        <v>187</v>
      </c>
      <c r="AE10" s="247">
        <f>SUM(AE11:AE13)</f>
        <v>191.3</v>
      </c>
      <c r="AF10" s="247">
        <f t="shared" si="2"/>
        <v>203</v>
      </c>
      <c r="AG10" s="247">
        <f t="shared" si="2"/>
        <v>196.2</v>
      </c>
      <c r="AH10" s="46">
        <f t="shared" si="2"/>
        <v>184</v>
      </c>
      <c r="AI10" s="247">
        <f t="shared" si="2"/>
        <v>199.10000000000002</v>
      </c>
      <c r="AJ10" s="247">
        <f t="shared" si="2"/>
        <v>197.2</v>
      </c>
      <c r="AK10" s="247">
        <f t="shared" si="2"/>
        <v>258</v>
      </c>
      <c r="AL10" s="46">
        <f>SUM(AL11:AL13)</f>
        <v>204.3</v>
      </c>
      <c r="AM10" s="247">
        <f>SUM(AM11:AM13)</f>
        <v>215.2</v>
      </c>
      <c r="AN10" s="247">
        <f>SUM(AN11:AN13)</f>
        <v>198.2</v>
      </c>
      <c r="AO10" s="247">
        <f>SUM(AO11:AO13)</f>
        <v>245.9</v>
      </c>
      <c r="AP10" s="46">
        <f>SUM(AP11:AP13)</f>
        <v>220.10000000000002</v>
      </c>
      <c r="AQ10" s="247">
        <f t="shared" si="2"/>
        <v>203.60000000000002</v>
      </c>
    </row>
    <row r="11" spans="1:43" s="9" customFormat="1" ht="12.75">
      <c r="A11" s="89" t="s">
        <v>205</v>
      </c>
      <c r="B11" s="39">
        <v>56.3</v>
      </c>
      <c r="C11" s="40">
        <v>61.3</v>
      </c>
      <c r="D11" s="40">
        <v>63.6</v>
      </c>
      <c r="E11" s="40">
        <v>70.8</v>
      </c>
      <c r="F11" s="39">
        <v>68.9</v>
      </c>
      <c r="G11" s="40">
        <v>69.7</v>
      </c>
      <c r="H11" s="40">
        <v>79.5</v>
      </c>
      <c r="I11" s="41">
        <v>78.5</v>
      </c>
      <c r="J11" s="39">
        <v>54.6</v>
      </c>
      <c r="K11" s="40">
        <v>72.1</v>
      </c>
      <c r="L11" s="40">
        <v>68.2</v>
      </c>
      <c r="M11" s="41">
        <v>83.4</v>
      </c>
      <c r="N11" s="39">
        <v>68.9</v>
      </c>
      <c r="O11" s="40">
        <v>71.6</v>
      </c>
      <c r="P11" s="40">
        <v>75.3</v>
      </c>
      <c r="Q11" s="41">
        <v>97.2</v>
      </c>
      <c r="R11" s="39">
        <v>78.3</v>
      </c>
      <c r="S11" s="40">
        <v>91.7</v>
      </c>
      <c r="T11" s="40">
        <v>88.8</v>
      </c>
      <c r="U11" s="41">
        <v>89.6</v>
      </c>
      <c r="V11" s="39">
        <v>98.37188163130384</v>
      </c>
      <c r="W11" s="40">
        <v>85.77024915807677</v>
      </c>
      <c r="X11" s="68">
        <v>93.12872882059727</v>
      </c>
      <c r="Y11" s="69">
        <v>108.2230231998161</v>
      </c>
      <c r="Z11" s="39">
        <v>97.83176807269189</v>
      </c>
      <c r="AA11" s="40">
        <v>96.99018514326211</v>
      </c>
      <c r="AB11" s="40">
        <v>99.18603078963282</v>
      </c>
      <c r="AC11" s="41">
        <v>88.88901519901336</v>
      </c>
      <c r="AD11" s="40">
        <v>98.9</v>
      </c>
      <c r="AE11" s="68">
        <v>103</v>
      </c>
      <c r="AF11" s="68">
        <v>104.6</v>
      </c>
      <c r="AG11" s="68">
        <v>98.5</v>
      </c>
      <c r="AH11" s="39">
        <v>103.5</v>
      </c>
      <c r="AI11" s="68">
        <v>101.9</v>
      </c>
      <c r="AJ11" s="68">
        <v>105.7</v>
      </c>
      <c r="AK11" s="68">
        <v>106.1</v>
      </c>
      <c r="AL11" s="39">
        <v>107.5</v>
      </c>
      <c r="AM11" s="68">
        <v>106.4</v>
      </c>
      <c r="AN11" s="68">
        <v>108.4</v>
      </c>
      <c r="AO11" s="68">
        <v>117.9</v>
      </c>
      <c r="AP11" s="39">
        <v>106.4</v>
      </c>
      <c r="AQ11" s="68">
        <v>107.4</v>
      </c>
    </row>
    <row r="12" spans="1:43" s="7" customFormat="1" ht="12.75">
      <c r="A12" s="87" t="s">
        <v>206</v>
      </c>
      <c r="B12" s="39">
        <v>12.6</v>
      </c>
      <c r="C12" s="40">
        <v>13.2</v>
      </c>
      <c r="D12" s="40">
        <v>12.7</v>
      </c>
      <c r="E12" s="40">
        <v>17.8</v>
      </c>
      <c r="F12" s="39">
        <v>8.3</v>
      </c>
      <c r="G12" s="40">
        <v>8</v>
      </c>
      <c r="H12" s="40">
        <v>9.4</v>
      </c>
      <c r="I12" s="41">
        <v>8.6</v>
      </c>
      <c r="J12" s="39">
        <v>7.7</v>
      </c>
      <c r="K12" s="40">
        <v>7.7</v>
      </c>
      <c r="L12" s="40">
        <v>6.1</v>
      </c>
      <c r="M12" s="41">
        <v>7.9</v>
      </c>
      <c r="N12" s="39">
        <v>7.5</v>
      </c>
      <c r="O12" s="40">
        <v>7.5</v>
      </c>
      <c r="P12" s="40">
        <v>7.9</v>
      </c>
      <c r="Q12" s="41">
        <v>8.5</v>
      </c>
      <c r="R12" s="39">
        <v>8.7</v>
      </c>
      <c r="S12" s="40">
        <v>9.8</v>
      </c>
      <c r="T12" s="40">
        <v>9.5</v>
      </c>
      <c r="U12" s="41">
        <v>11.2</v>
      </c>
      <c r="V12" s="39">
        <v>9.398172175539491</v>
      </c>
      <c r="W12" s="40">
        <v>9.697817179311613</v>
      </c>
      <c r="X12" s="68">
        <v>9.588788202333038</v>
      </c>
      <c r="Y12" s="69">
        <v>14.187547462931358</v>
      </c>
      <c r="Z12" s="39">
        <v>11.06296645295906</v>
      </c>
      <c r="AA12" s="40">
        <v>11.910295494393718</v>
      </c>
      <c r="AB12" s="40">
        <v>11.679973207596605</v>
      </c>
      <c r="AC12" s="41">
        <v>12.561587206955135</v>
      </c>
      <c r="AD12" s="40">
        <v>11.6</v>
      </c>
      <c r="AE12" s="68">
        <v>11.8</v>
      </c>
      <c r="AF12" s="68">
        <v>12.5</v>
      </c>
      <c r="AG12" s="68">
        <v>16.9</v>
      </c>
      <c r="AH12" s="39">
        <v>12.3</v>
      </c>
      <c r="AI12" s="68">
        <v>10.8</v>
      </c>
      <c r="AJ12" s="68">
        <v>14.6</v>
      </c>
      <c r="AK12" s="68">
        <v>10.7</v>
      </c>
      <c r="AL12" s="39">
        <v>9.7</v>
      </c>
      <c r="AM12" s="68">
        <v>10.8</v>
      </c>
      <c r="AN12" s="68">
        <v>10.1</v>
      </c>
      <c r="AO12" s="68">
        <v>24.1</v>
      </c>
      <c r="AP12" s="39">
        <v>10.7</v>
      </c>
      <c r="AQ12" s="68">
        <v>9.3</v>
      </c>
    </row>
    <row r="13" spans="1:43" s="9" customFormat="1" ht="12.75">
      <c r="A13" s="87" t="s">
        <v>207</v>
      </c>
      <c r="B13" s="39">
        <v>53.934461774872986</v>
      </c>
      <c r="C13" s="40">
        <v>51.834461774872985</v>
      </c>
      <c r="D13" s="40">
        <v>54.23446177487298</v>
      </c>
      <c r="E13" s="40">
        <v>41.73446177487298</v>
      </c>
      <c r="F13" s="39">
        <v>56.141991214272444</v>
      </c>
      <c r="G13" s="40">
        <v>60.641991214272444</v>
      </c>
      <c r="H13" s="40">
        <v>68.34199121427244</v>
      </c>
      <c r="I13" s="41">
        <v>22.941991214272445</v>
      </c>
      <c r="J13" s="39">
        <v>74.21495819501635</v>
      </c>
      <c r="K13" s="40">
        <v>57.61495819501635</v>
      </c>
      <c r="L13" s="40">
        <v>69.61495819501636</v>
      </c>
      <c r="M13" s="41">
        <v>29.71495819501635</v>
      </c>
      <c r="N13" s="39">
        <v>68.53382920852205</v>
      </c>
      <c r="O13" s="40">
        <v>70.23382920852205</v>
      </c>
      <c r="P13" s="40">
        <v>63.53382920852205</v>
      </c>
      <c r="Q13" s="41">
        <v>37.733829208522046</v>
      </c>
      <c r="R13" s="39">
        <v>75.85273582985052</v>
      </c>
      <c r="S13" s="40">
        <v>75.05273582985053</v>
      </c>
      <c r="T13" s="40">
        <v>69.55273582985052</v>
      </c>
      <c r="U13" s="41">
        <v>69.85273582985053</v>
      </c>
      <c r="V13" s="39">
        <v>79.92937124289799</v>
      </c>
      <c r="W13" s="40">
        <v>85.02760051036955</v>
      </c>
      <c r="X13" s="68">
        <v>83.08256368468219</v>
      </c>
      <c r="Y13" s="69">
        <v>64.97637483689915</v>
      </c>
      <c r="Z13" s="39">
        <v>71.49536141837244</v>
      </c>
      <c r="AA13" s="40">
        <v>71.26853896535386</v>
      </c>
      <c r="AB13" s="40">
        <v>66.32955534122986</v>
      </c>
      <c r="AC13" s="41">
        <v>74.94117419296094</v>
      </c>
      <c r="AD13" s="40">
        <v>76.5</v>
      </c>
      <c r="AE13" s="68">
        <v>76.5</v>
      </c>
      <c r="AF13" s="68">
        <v>85.9</v>
      </c>
      <c r="AG13" s="68">
        <v>80.8</v>
      </c>
      <c r="AH13" s="39">
        <v>68.2</v>
      </c>
      <c r="AI13" s="68">
        <v>86.4</v>
      </c>
      <c r="AJ13" s="68">
        <v>76.9</v>
      </c>
      <c r="AK13" s="68">
        <v>141.2</v>
      </c>
      <c r="AL13" s="39">
        <v>87.1</v>
      </c>
      <c r="AM13" s="68">
        <v>98</v>
      </c>
      <c r="AN13" s="68">
        <v>79.7</v>
      </c>
      <c r="AO13" s="68">
        <v>103.9</v>
      </c>
      <c r="AP13" s="39">
        <v>103</v>
      </c>
      <c r="AQ13" s="68">
        <v>86.9</v>
      </c>
    </row>
    <row r="14" spans="1:43" s="9" customFormat="1" ht="12.75">
      <c r="A14" s="88" t="s">
        <v>202</v>
      </c>
      <c r="B14" s="46">
        <f>B5-B10</f>
        <v>96.4</v>
      </c>
      <c r="C14" s="47">
        <f aca="true" t="shared" si="3" ref="C14:AQ14">C5-C10</f>
        <v>86.5</v>
      </c>
      <c r="D14" s="47">
        <f t="shared" si="3"/>
        <v>91.20000000000005</v>
      </c>
      <c r="E14" s="47">
        <f t="shared" si="3"/>
        <v>62.20000000000002</v>
      </c>
      <c r="F14" s="46">
        <f t="shared" si="3"/>
        <v>151.9</v>
      </c>
      <c r="G14" s="47">
        <f t="shared" si="3"/>
        <v>135.00000000000003</v>
      </c>
      <c r="H14" s="47">
        <f t="shared" si="3"/>
        <v>120.10000000000002</v>
      </c>
      <c r="I14" s="48">
        <f t="shared" si="3"/>
        <v>-75.60000000000001</v>
      </c>
      <c r="J14" s="46">
        <f t="shared" si="3"/>
        <v>126.49999999999997</v>
      </c>
      <c r="K14" s="47">
        <f t="shared" si="3"/>
        <v>197.70000000000002</v>
      </c>
      <c r="L14" s="47">
        <f t="shared" si="3"/>
        <v>223.3</v>
      </c>
      <c r="M14" s="48">
        <f t="shared" si="3"/>
        <v>161.79999999999998</v>
      </c>
      <c r="N14" s="46">
        <f t="shared" si="3"/>
        <v>208.29999999999995</v>
      </c>
      <c r="O14" s="47">
        <f t="shared" si="3"/>
        <v>172.09999999999997</v>
      </c>
      <c r="P14" s="47">
        <f t="shared" si="3"/>
        <v>186.79999999999998</v>
      </c>
      <c r="Q14" s="48">
        <f t="shared" si="3"/>
        <v>168.50000000000003</v>
      </c>
      <c r="R14" s="46">
        <f t="shared" si="3"/>
        <v>189.5</v>
      </c>
      <c r="S14" s="47">
        <f t="shared" si="3"/>
        <v>181.39999999999998</v>
      </c>
      <c r="T14" s="47">
        <f t="shared" si="3"/>
        <v>190.59999999999997</v>
      </c>
      <c r="U14" s="48">
        <f t="shared" si="3"/>
        <v>205.79999999999995</v>
      </c>
      <c r="V14" s="46">
        <f t="shared" si="3"/>
        <v>241.37373508154263</v>
      </c>
      <c r="W14" s="47">
        <f t="shared" si="3"/>
        <v>200.97749328352603</v>
      </c>
      <c r="X14" s="247">
        <f t="shared" si="3"/>
        <v>191.07307942367146</v>
      </c>
      <c r="Y14" s="248">
        <f t="shared" si="3"/>
        <v>189.5862146316373</v>
      </c>
      <c r="Z14" s="46">
        <f t="shared" si="3"/>
        <v>234.94063304057292</v>
      </c>
      <c r="AA14" s="47">
        <f t="shared" si="3"/>
        <v>212.97837811634076</v>
      </c>
      <c r="AB14" s="47">
        <f>AB5-AB10</f>
        <v>205.67634281693626</v>
      </c>
      <c r="AC14" s="48">
        <f>AC5-AC10</f>
        <v>207.55570895242562</v>
      </c>
      <c r="AD14" s="47">
        <f>AD5-AD10</f>
        <v>211.59999999999997</v>
      </c>
      <c r="AE14" s="247">
        <f>AE5-AE10</f>
        <v>209.59999999999997</v>
      </c>
      <c r="AF14" s="247">
        <f t="shared" si="3"/>
        <v>201.2</v>
      </c>
      <c r="AG14" s="247">
        <f t="shared" si="3"/>
        <v>201.50000000000006</v>
      </c>
      <c r="AH14" s="46">
        <f t="shared" si="3"/>
        <v>242.40000000000003</v>
      </c>
      <c r="AI14" s="247">
        <f t="shared" si="3"/>
        <v>212.7</v>
      </c>
      <c r="AJ14" s="247">
        <f t="shared" si="3"/>
        <v>209.3</v>
      </c>
      <c r="AK14" s="247">
        <f t="shared" si="3"/>
        <v>187.10000000000008</v>
      </c>
      <c r="AL14" s="46">
        <f>AL5-AL10</f>
        <v>243.90000000000003</v>
      </c>
      <c r="AM14" s="247">
        <f>AM5-AM10</f>
        <v>221.70000000000005</v>
      </c>
      <c r="AN14" s="247">
        <f>AN5-AN10</f>
        <v>266</v>
      </c>
      <c r="AO14" s="247">
        <f>AO5-AO10</f>
        <v>253.49999999999997</v>
      </c>
      <c r="AP14" s="46">
        <f>AP5-AP10</f>
        <v>280.19999999999993</v>
      </c>
      <c r="AQ14" s="247">
        <f t="shared" si="3"/>
        <v>308.5</v>
      </c>
    </row>
    <row r="15" spans="1:43" s="9" customFormat="1" ht="12.75">
      <c r="A15" s="89" t="s">
        <v>27</v>
      </c>
      <c r="B15" s="39">
        <v>-3.9</v>
      </c>
      <c r="C15" s="40">
        <v>-16.3</v>
      </c>
      <c r="D15" s="40">
        <v>-39.4</v>
      </c>
      <c r="E15" s="40">
        <v>-3.6</v>
      </c>
      <c r="F15" s="39">
        <v>3.3</v>
      </c>
      <c r="G15" s="40">
        <v>-64.8</v>
      </c>
      <c r="H15" s="40">
        <v>2.3</v>
      </c>
      <c r="I15" s="41">
        <v>96.4</v>
      </c>
      <c r="J15" s="39">
        <v>78.9</v>
      </c>
      <c r="K15" s="40">
        <v>67</v>
      </c>
      <c r="L15" s="40">
        <v>32.7</v>
      </c>
      <c r="M15" s="41">
        <v>62</v>
      </c>
      <c r="N15" s="39">
        <v>26.9</v>
      </c>
      <c r="O15" s="40">
        <v>26.2</v>
      </c>
      <c r="P15" s="40">
        <v>33.8</v>
      </c>
      <c r="Q15" s="41">
        <v>35.6</v>
      </c>
      <c r="R15" s="39">
        <v>23.2</v>
      </c>
      <c r="S15" s="40">
        <v>16.5</v>
      </c>
      <c r="T15" s="40">
        <v>6.1</v>
      </c>
      <c r="U15" s="41">
        <v>36.4</v>
      </c>
      <c r="V15" s="39">
        <v>45.1</v>
      </c>
      <c r="W15" s="40">
        <v>106</v>
      </c>
      <c r="X15" s="68">
        <v>61.1</v>
      </c>
      <c r="Y15" s="69">
        <v>60.5</v>
      </c>
      <c r="Z15" s="39">
        <v>20.01907912384285</v>
      </c>
      <c r="AA15" s="40">
        <v>28.67128190157812</v>
      </c>
      <c r="AB15" s="40">
        <v>30.68972161345657</v>
      </c>
      <c r="AC15" s="41">
        <v>59.38494416985215</v>
      </c>
      <c r="AD15" s="40">
        <v>47.4</v>
      </c>
      <c r="AE15" s="68">
        <v>22.7</v>
      </c>
      <c r="AF15" s="68">
        <v>52</v>
      </c>
      <c r="AG15" s="68">
        <v>66.9</v>
      </c>
      <c r="AH15" s="39">
        <v>50.5</v>
      </c>
      <c r="AI15" s="68">
        <v>40.7</v>
      </c>
      <c r="AJ15" s="68">
        <v>24.2</v>
      </c>
      <c r="AK15" s="68">
        <f>46.9+0.1-0.1</f>
        <v>46.9</v>
      </c>
      <c r="AL15" s="39">
        <v>62.5</v>
      </c>
      <c r="AM15" s="68">
        <v>12.9</v>
      </c>
      <c r="AN15" s="68">
        <f>28.2-3.9</f>
        <v>24.3</v>
      </c>
      <c r="AO15" s="68">
        <v>63.4</v>
      </c>
      <c r="AP15" s="39">
        <v>34.1</v>
      </c>
      <c r="AQ15" s="68">
        <v>80.4</v>
      </c>
    </row>
    <row r="16" spans="1:43"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39">
        <v>0</v>
      </c>
      <c r="AA16" s="40">
        <v>0</v>
      </c>
      <c r="AB16" s="40">
        <v>0</v>
      </c>
      <c r="AC16" s="41">
        <v>0</v>
      </c>
      <c r="AD16" s="40">
        <v>0</v>
      </c>
      <c r="AE16" s="68">
        <v>0</v>
      </c>
      <c r="AF16" s="68">
        <v>0</v>
      </c>
      <c r="AG16" s="68">
        <v>0</v>
      </c>
      <c r="AH16" s="39">
        <v>0</v>
      </c>
      <c r="AI16" s="68">
        <v>0</v>
      </c>
      <c r="AJ16" s="68">
        <v>0</v>
      </c>
      <c r="AK16" s="68">
        <v>0</v>
      </c>
      <c r="AL16" s="39">
        <v>32.8</v>
      </c>
      <c r="AM16" s="68">
        <f>49.05+0.05</f>
        <v>49.099999999999994</v>
      </c>
      <c r="AN16" s="68">
        <f>48.1-0.1</f>
        <v>48</v>
      </c>
      <c r="AO16" s="68">
        <v>48.6</v>
      </c>
      <c r="AP16" s="39">
        <v>47.6</v>
      </c>
      <c r="AQ16" s="68">
        <v>51.9</v>
      </c>
    </row>
    <row r="17" spans="1:43" s="9" customFormat="1" ht="29.25" customHeight="1">
      <c r="A17" s="98" t="s">
        <v>203</v>
      </c>
      <c r="B17" s="93">
        <f>B14-B15</f>
        <v>100.30000000000001</v>
      </c>
      <c r="C17" s="94">
        <f aca="true" t="shared" si="4" ref="C17:AF17">C14-C15</f>
        <v>102.8</v>
      </c>
      <c r="D17" s="94">
        <f t="shared" si="4"/>
        <v>130.60000000000005</v>
      </c>
      <c r="E17" s="94">
        <f t="shared" si="4"/>
        <v>65.80000000000001</v>
      </c>
      <c r="F17" s="93">
        <f t="shared" si="4"/>
        <v>148.6</v>
      </c>
      <c r="G17" s="94">
        <f t="shared" si="4"/>
        <v>199.8</v>
      </c>
      <c r="H17" s="94">
        <f t="shared" si="4"/>
        <v>117.80000000000003</v>
      </c>
      <c r="I17" s="94">
        <f t="shared" si="4"/>
        <v>-172</v>
      </c>
      <c r="J17" s="93">
        <f t="shared" si="4"/>
        <v>47.599999999999966</v>
      </c>
      <c r="K17" s="94">
        <f t="shared" si="4"/>
        <v>130.70000000000002</v>
      </c>
      <c r="L17" s="94">
        <f t="shared" si="4"/>
        <v>190.60000000000002</v>
      </c>
      <c r="M17" s="94">
        <f t="shared" si="4"/>
        <v>99.79999999999998</v>
      </c>
      <c r="N17" s="93">
        <f t="shared" si="4"/>
        <v>181.39999999999995</v>
      </c>
      <c r="O17" s="94">
        <f t="shared" si="4"/>
        <v>145.89999999999998</v>
      </c>
      <c r="P17" s="94">
        <f t="shared" si="4"/>
        <v>153</v>
      </c>
      <c r="Q17" s="94">
        <f t="shared" si="4"/>
        <v>132.90000000000003</v>
      </c>
      <c r="R17" s="93">
        <f t="shared" si="4"/>
        <v>166.3</v>
      </c>
      <c r="S17" s="94">
        <f t="shared" si="4"/>
        <v>164.89999999999998</v>
      </c>
      <c r="T17" s="94">
        <f t="shared" si="4"/>
        <v>184.49999999999997</v>
      </c>
      <c r="U17" s="94">
        <f t="shared" si="4"/>
        <v>169.39999999999995</v>
      </c>
      <c r="V17" s="93">
        <f t="shared" si="4"/>
        <v>196.27373508154264</v>
      </c>
      <c r="W17" s="94">
        <f t="shared" si="4"/>
        <v>94.97749328352603</v>
      </c>
      <c r="X17" s="94">
        <f t="shared" si="4"/>
        <v>129.97307942367146</v>
      </c>
      <c r="Y17" s="95">
        <f t="shared" si="4"/>
        <v>129.0862146316373</v>
      </c>
      <c r="Z17" s="93">
        <f t="shared" si="4"/>
        <v>214.92155391673006</v>
      </c>
      <c r="AA17" s="94">
        <f t="shared" si="4"/>
        <v>184.30709621476265</v>
      </c>
      <c r="AB17" s="94">
        <f t="shared" si="4"/>
        <v>174.98662120347967</v>
      </c>
      <c r="AC17" s="95">
        <f>AC14-AC15</f>
        <v>148.17076478257349</v>
      </c>
      <c r="AD17" s="94">
        <f>AD14-AD15</f>
        <v>164.19999999999996</v>
      </c>
      <c r="AE17" s="94">
        <f>AE14-AE15</f>
        <v>186.89999999999998</v>
      </c>
      <c r="AF17" s="94">
        <f t="shared" si="4"/>
        <v>149.2</v>
      </c>
      <c r="AG17" s="94">
        <f>AG14-AG15</f>
        <v>134.60000000000005</v>
      </c>
      <c r="AH17" s="93">
        <f>AH14-AH15</f>
        <v>191.90000000000003</v>
      </c>
      <c r="AI17" s="94">
        <f>AI14-AI15</f>
        <v>172</v>
      </c>
      <c r="AJ17" s="94">
        <f>AJ14-AJ15</f>
        <v>185.10000000000002</v>
      </c>
      <c r="AK17" s="94">
        <f>AK14-AK15</f>
        <v>140.20000000000007</v>
      </c>
      <c r="AL17" s="93">
        <f aca="true" t="shared" si="5" ref="AL17:AQ17">AL14-AL15-AL16</f>
        <v>148.60000000000002</v>
      </c>
      <c r="AM17" s="94">
        <f t="shared" si="5"/>
        <v>159.70000000000005</v>
      </c>
      <c r="AN17" s="94">
        <f t="shared" si="5"/>
        <v>193.7</v>
      </c>
      <c r="AO17" s="94">
        <f t="shared" si="5"/>
        <v>141.49999999999997</v>
      </c>
      <c r="AP17" s="93">
        <f t="shared" si="5"/>
        <v>198.49999999999994</v>
      </c>
      <c r="AQ17" s="94">
        <f t="shared" si="5"/>
        <v>176.2</v>
      </c>
    </row>
    <row r="18" spans="1:43" ht="18" customHeight="1">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row>
    <row r="19" spans="1:43"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row>
  </sheetData>
  <sheetProtection/>
  <mergeCells count="12">
    <mergeCell ref="AH2:AK2"/>
    <mergeCell ref="AL2:AO2"/>
    <mergeCell ref="A2:A3"/>
    <mergeCell ref="B2:E2"/>
    <mergeCell ref="F2:I2"/>
    <mergeCell ref="J2:M2"/>
    <mergeCell ref="N2:Q2"/>
    <mergeCell ref="AP2:AQ2"/>
    <mergeCell ref="R2:U2"/>
    <mergeCell ref="V2:Y2"/>
    <mergeCell ref="Z2:AC2"/>
    <mergeCell ref="AD2:AG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AQ42"/>
  <sheetViews>
    <sheetView showGridLines="0" view="pageBreakPreview" zoomScaleSheetLayoutView="100" zoomScalePageLayoutView="80" workbookViewId="0" topLeftCell="A1">
      <pane xSplit="1" ySplit="4" topLeftCell="O5" activePane="bottomRight" state="frozen"/>
      <selection pane="topLeft" activeCell="B1" sqref="B1"/>
      <selection pane="topRight" activeCell="C1" sqref="C1"/>
      <selection pane="bottomLeft" activeCell="B5" sqref="B5"/>
      <selection pane="bottomRight" activeCell="AW18" sqref="AW18"/>
    </sheetView>
  </sheetViews>
  <sheetFormatPr defaultColWidth="8.875" defaultRowHeight="12.75"/>
  <cols>
    <col min="1" max="1" width="46.875" style="2" customWidth="1"/>
    <col min="2" max="26" width="5.625" style="3" bestFit="1" customWidth="1"/>
    <col min="27" max="33" width="5.625" style="3" customWidth="1"/>
    <col min="34" max="34" width="4.875" style="3" bestFit="1" customWidth="1"/>
    <col min="35" max="42" width="6.125" style="3" customWidth="1"/>
    <col min="43" max="43" width="5.125" style="3" customWidth="1"/>
    <col min="44" max="16384" width="8.875" style="3" customWidth="1"/>
  </cols>
  <sheetData>
    <row r="1" ht="12.75" customHeight="1">
      <c r="A1" s="316" t="s">
        <v>357</v>
      </c>
    </row>
    <row r="2" spans="1:43" ht="12.75" customHeight="1">
      <c r="A2" s="332" t="s">
        <v>22</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34">
        <v>2014</v>
      </c>
      <c r="AE2" s="335"/>
      <c r="AF2" s="335"/>
      <c r="AG2" s="335"/>
      <c r="AH2" s="334">
        <v>2015</v>
      </c>
      <c r="AI2" s="335"/>
      <c r="AJ2" s="335"/>
      <c r="AK2" s="337"/>
      <c r="AL2" s="334">
        <v>2016</v>
      </c>
      <c r="AM2" s="335"/>
      <c r="AN2" s="335"/>
      <c r="AO2" s="337"/>
      <c r="AP2" s="334">
        <v>2017</v>
      </c>
      <c r="AQ2" s="335">
        <v>2017</v>
      </c>
    </row>
    <row r="3" spans="1:43" s="4" customFormat="1" ht="33.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P3" s="34" t="s">
        <v>0</v>
      </c>
      <c r="AQ3" s="35" t="s">
        <v>1</v>
      </c>
    </row>
    <row r="4" spans="1:43" s="4" customFormat="1" ht="12.75">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5"/>
      <c r="AP4" s="16"/>
      <c r="AQ4" s="5"/>
    </row>
    <row r="5" spans="1:43" s="7" customFormat="1" ht="12.75">
      <c r="A5" s="37" t="s">
        <v>23</v>
      </c>
      <c r="B5" s="46">
        <f>SUM(B6:B9)</f>
        <v>319.965538225127</v>
      </c>
      <c r="C5" s="47">
        <f aca="true" t="shared" si="0" ref="C5:X5">SUM(C6:C9)</f>
        <v>309.365538225127</v>
      </c>
      <c r="D5" s="47">
        <f t="shared" si="0"/>
        <v>320.56553822512706</v>
      </c>
      <c r="E5" s="47">
        <f t="shared" si="0"/>
        <v>280.665538225127</v>
      </c>
      <c r="F5" s="46">
        <f t="shared" si="0"/>
        <v>297.4580087857276</v>
      </c>
      <c r="G5" s="47">
        <f t="shared" si="0"/>
        <v>352.3580087857276</v>
      </c>
      <c r="H5" s="47">
        <f t="shared" si="0"/>
        <v>342.8580087857275</v>
      </c>
      <c r="I5" s="48">
        <f t="shared" si="0"/>
        <v>269.4580087857275</v>
      </c>
      <c r="J5" s="46">
        <f t="shared" si="0"/>
        <v>298.38504180498364</v>
      </c>
      <c r="K5" s="47">
        <f t="shared" si="0"/>
        <v>353.9850418049836</v>
      </c>
      <c r="L5" s="47">
        <f t="shared" si="0"/>
        <v>341.1850418049836</v>
      </c>
      <c r="M5" s="48">
        <f t="shared" si="0"/>
        <v>306.88504180498364</v>
      </c>
      <c r="N5" s="46">
        <f t="shared" si="0"/>
        <v>308.766170791478</v>
      </c>
      <c r="O5" s="47">
        <f t="shared" si="0"/>
        <v>361.06617079147793</v>
      </c>
      <c r="P5" s="47">
        <f>SUM(P6:P9)</f>
        <v>370.566170791478</v>
      </c>
      <c r="Q5" s="48">
        <f t="shared" si="0"/>
        <v>386.66617079147795</v>
      </c>
      <c r="R5" s="46">
        <f t="shared" si="0"/>
        <v>389.24726417014944</v>
      </c>
      <c r="S5" s="47">
        <f t="shared" si="0"/>
        <v>401.5472641701495</v>
      </c>
      <c r="T5" s="47">
        <f t="shared" si="0"/>
        <v>376.34726417014946</v>
      </c>
      <c r="U5" s="48">
        <f t="shared" si="0"/>
        <v>377.6472641701495</v>
      </c>
      <c r="V5" s="46">
        <f t="shared" si="0"/>
        <v>427.72683986871607</v>
      </c>
      <c r="W5" s="47">
        <f t="shared" si="0"/>
        <v>422.026839868716</v>
      </c>
      <c r="X5" s="247">
        <f t="shared" si="0"/>
        <v>424.6268398687161</v>
      </c>
      <c r="Y5" s="248">
        <f aca="true" t="shared" si="1" ref="Y5:AF5">SUM(Y6:Y9)</f>
        <v>406.3268398687161</v>
      </c>
      <c r="Z5" s="46">
        <f t="shared" si="1"/>
        <v>448.86927101575867</v>
      </c>
      <c r="AA5" s="47">
        <f t="shared" si="1"/>
        <v>420.952602268392</v>
      </c>
      <c r="AB5" s="47">
        <f t="shared" si="1"/>
        <v>428.2280978446046</v>
      </c>
      <c r="AC5" s="48">
        <f t="shared" si="1"/>
        <v>455.1525144486448</v>
      </c>
      <c r="AD5" s="47">
        <f>SUM(AD6:AD9)</f>
        <v>485.19999999999993</v>
      </c>
      <c r="AE5" s="47">
        <f>SUM(AE6:AE9)</f>
        <v>496.79999999999995</v>
      </c>
      <c r="AF5" s="247">
        <f t="shared" si="1"/>
        <v>493.1</v>
      </c>
      <c r="AG5" s="247">
        <f aca="true" t="shared" si="2" ref="AG5:AQ5">SUM(AG6:AG9)</f>
        <v>468.3</v>
      </c>
      <c r="AH5" s="46">
        <f t="shared" si="2"/>
        <v>479.59999999999997</v>
      </c>
      <c r="AI5" s="47">
        <f t="shared" si="2"/>
        <v>569.6</v>
      </c>
      <c r="AJ5" s="47">
        <f t="shared" si="2"/>
        <v>530.6</v>
      </c>
      <c r="AK5" s="47">
        <f t="shared" si="2"/>
        <v>508.5</v>
      </c>
      <c r="AL5" s="46">
        <f>SUM(AL6:AL9)</f>
        <v>527.4</v>
      </c>
      <c r="AM5" s="47">
        <f>SUM(AM6:AM9)</f>
        <v>715.5</v>
      </c>
      <c r="AN5" s="47">
        <f>SUM(AN6:AN9)</f>
        <v>610.3</v>
      </c>
      <c r="AO5" s="47">
        <f>SUM(AO6:AO9)</f>
        <v>622.6</v>
      </c>
      <c r="AP5" s="46">
        <f>SUM(AP6:AP9)</f>
        <v>634.2</v>
      </c>
      <c r="AQ5" s="47">
        <f t="shared" si="2"/>
        <v>678.3000000000001</v>
      </c>
    </row>
    <row r="6" spans="1:43" s="4" customFormat="1" ht="12.75">
      <c r="A6" s="87" t="s">
        <v>8</v>
      </c>
      <c r="B6" s="39">
        <v>138</v>
      </c>
      <c r="C6" s="40">
        <v>144.3</v>
      </c>
      <c r="D6" s="40">
        <v>148.8</v>
      </c>
      <c r="E6" s="40">
        <v>153.8</v>
      </c>
      <c r="F6" s="39">
        <v>154.3</v>
      </c>
      <c r="G6" s="40">
        <v>146</v>
      </c>
      <c r="H6" s="40">
        <v>170.6</v>
      </c>
      <c r="I6" s="41">
        <v>112</v>
      </c>
      <c r="J6" s="39">
        <v>123</v>
      </c>
      <c r="K6" s="40">
        <v>213</v>
      </c>
      <c r="L6" s="40">
        <v>153.1</v>
      </c>
      <c r="M6" s="41">
        <v>153</v>
      </c>
      <c r="N6" s="39">
        <v>178</v>
      </c>
      <c r="O6" s="40">
        <v>202.2</v>
      </c>
      <c r="P6" s="40">
        <v>199.1</v>
      </c>
      <c r="Q6" s="41">
        <v>236.5</v>
      </c>
      <c r="R6" s="39">
        <v>238.3</v>
      </c>
      <c r="S6" s="40">
        <v>245.8</v>
      </c>
      <c r="T6" s="40">
        <v>233.9</v>
      </c>
      <c r="U6" s="41">
        <v>236.9</v>
      </c>
      <c r="V6" s="39">
        <v>254.7738238377311</v>
      </c>
      <c r="W6" s="40">
        <v>265.7738238377311</v>
      </c>
      <c r="X6" s="68">
        <v>276.1738238377311</v>
      </c>
      <c r="Y6" s="69">
        <v>249.47382383773112</v>
      </c>
      <c r="Z6" s="39">
        <v>242.18036743499977</v>
      </c>
      <c r="AA6" s="40">
        <v>260.00901994993075</v>
      </c>
      <c r="AB6" s="40">
        <v>281.6279190694209</v>
      </c>
      <c r="AC6" s="41">
        <v>296.84214202947464</v>
      </c>
      <c r="AD6" s="40">
        <v>317.4</v>
      </c>
      <c r="AE6" s="40">
        <v>346.7</v>
      </c>
      <c r="AF6" s="68">
        <v>362.3</v>
      </c>
      <c r="AG6" s="68">
        <v>341.5</v>
      </c>
      <c r="AH6" s="39">
        <v>344.4</v>
      </c>
      <c r="AI6" s="40">
        <v>373.2</v>
      </c>
      <c r="AJ6" s="40">
        <v>404.8</v>
      </c>
      <c r="AK6" s="40">
        <f>394.1+0.4</f>
        <v>394.5</v>
      </c>
      <c r="AL6" s="39">
        <v>402.8</v>
      </c>
      <c r="AM6" s="40">
        <v>429.6</v>
      </c>
      <c r="AN6" s="40">
        <f>509.3+1.2</f>
        <v>510.5</v>
      </c>
      <c r="AO6" s="40">
        <v>523.5</v>
      </c>
      <c r="AP6" s="39">
        <v>505.7</v>
      </c>
      <c r="AQ6" s="40">
        <v>529.7</v>
      </c>
    </row>
    <row r="7" spans="1:43" s="7" customFormat="1" ht="12.75">
      <c r="A7" s="87" t="s">
        <v>11</v>
      </c>
      <c r="B7" s="39">
        <v>130.16553822512702</v>
      </c>
      <c r="C7" s="40">
        <v>136.56553822512703</v>
      </c>
      <c r="D7" s="40">
        <v>135.06553822512703</v>
      </c>
      <c r="E7" s="40">
        <v>124.46553822512702</v>
      </c>
      <c r="F7" s="39">
        <v>124.25800878572755</v>
      </c>
      <c r="G7" s="40">
        <v>146.15800878572756</v>
      </c>
      <c r="H7" s="40">
        <v>140.75800878572755</v>
      </c>
      <c r="I7" s="41">
        <v>189.35800878572755</v>
      </c>
      <c r="J7" s="39">
        <v>146.78504180498365</v>
      </c>
      <c r="K7" s="40">
        <v>149.58504180498363</v>
      </c>
      <c r="L7" s="40">
        <v>159.78504180498365</v>
      </c>
      <c r="M7" s="41">
        <v>88.38504180498366</v>
      </c>
      <c r="N7" s="39">
        <v>117.26617079147796</v>
      </c>
      <c r="O7" s="40">
        <v>159.16617079147795</v>
      </c>
      <c r="P7" s="40">
        <v>160.86617079147797</v>
      </c>
      <c r="Q7" s="41">
        <v>96.46617079147796</v>
      </c>
      <c r="R7" s="39">
        <v>130.8472641701495</v>
      </c>
      <c r="S7" s="40">
        <v>127.44726417014948</v>
      </c>
      <c r="T7" s="40">
        <v>122.34726417014949</v>
      </c>
      <c r="U7" s="41">
        <v>123.34726417014949</v>
      </c>
      <c r="V7" s="39">
        <v>117.17074753424698</v>
      </c>
      <c r="W7" s="40">
        <v>115.47074753424698</v>
      </c>
      <c r="X7" s="68">
        <v>117.57074753424699</v>
      </c>
      <c r="Y7" s="69">
        <v>120.17074753424698</v>
      </c>
      <c r="Z7" s="39">
        <v>106.86733167592386</v>
      </c>
      <c r="AA7" s="40">
        <v>113.53324875046341</v>
      </c>
      <c r="AB7" s="40">
        <v>97.43429845405025</v>
      </c>
      <c r="AC7" s="41">
        <v>119.39543086788544</v>
      </c>
      <c r="AD7" s="40">
        <v>121.9</v>
      </c>
      <c r="AE7" s="40">
        <v>123.1</v>
      </c>
      <c r="AF7" s="68">
        <v>97.9</v>
      </c>
      <c r="AG7" s="68">
        <v>93.5</v>
      </c>
      <c r="AH7" s="39">
        <v>89.5</v>
      </c>
      <c r="AI7" s="40">
        <v>94.8</v>
      </c>
      <c r="AJ7" s="40">
        <v>91.8</v>
      </c>
      <c r="AK7" s="40">
        <f>87-0.1</f>
        <v>86.9</v>
      </c>
      <c r="AL7" s="39">
        <v>90.1</v>
      </c>
      <c r="AM7" s="40">
        <v>92.2</v>
      </c>
      <c r="AN7" s="40">
        <f>98.4-0.1</f>
        <v>98.30000000000001</v>
      </c>
      <c r="AO7" s="40">
        <v>100.1</v>
      </c>
      <c r="AP7" s="39">
        <v>104.5</v>
      </c>
      <c r="AQ7" s="40">
        <v>107.4</v>
      </c>
    </row>
    <row r="8" spans="1:43" s="7" customFormat="1" ht="12.75">
      <c r="A8" s="38" t="s">
        <v>24</v>
      </c>
      <c r="B8" s="39">
        <v>39.4</v>
      </c>
      <c r="C8" s="40">
        <v>17.6</v>
      </c>
      <c r="D8" s="40">
        <v>27.1</v>
      </c>
      <c r="E8" s="40">
        <v>-8.3</v>
      </c>
      <c r="F8" s="39">
        <v>7.3</v>
      </c>
      <c r="G8" s="40">
        <v>46</v>
      </c>
      <c r="H8" s="40">
        <v>18.5</v>
      </c>
      <c r="I8" s="41">
        <v>-41.3</v>
      </c>
      <c r="J8" s="39">
        <v>18.5</v>
      </c>
      <c r="K8" s="40">
        <v>-24.1</v>
      </c>
      <c r="L8" s="40">
        <v>17.9</v>
      </c>
      <c r="M8" s="41">
        <v>49.4</v>
      </c>
      <c r="N8" s="39">
        <v>6.2</v>
      </c>
      <c r="O8" s="40">
        <v>-11.2</v>
      </c>
      <c r="P8" s="40">
        <v>0</v>
      </c>
      <c r="Q8" s="41">
        <v>41.3</v>
      </c>
      <c r="R8" s="39">
        <v>10.4</v>
      </c>
      <c r="S8" s="40">
        <f>15.1</f>
        <v>15.1</v>
      </c>
      <c r="T8" s="40">
        <v>11.9</v>
      </c>
      <c r="U8" s="41">
        <v>7.3</v>
      </c>
      <c r="V8" s="39">
        <v>48.98226849673798</v>
      </c>
      <c r="W8" s="40">
        <v>29.582268496737978</v>
      </c>
      <c r="X8" s="68">
        <v>23.282268496737977</v>
      </c>
      <c r="Y8" s="69">
        <v>26.582268496737978</v>
      </c>
      <c r="Z8" s="39">
        <v>90.82157190483504</v>
      </c>
      <c r="AA8" s="40">
        <v>39.610333567997856</v>
      </c>
      <c r="AB8" s="40">
        <v>39.86588032113343</v>
      </c>
      <c r="AC8" s="41">
        <v>26.914941551284713</v>
      </c>
      <c r="AD8" s="40">
        <v>34.7</v>
      </c>
      <c r="AE8" s="40">
        <v>25.9</v>
      </c>
      <c r="AF8" s="68">
        <v>32.9</v>
      </c>
      <c r="AG8" s="68">
        <v>33.3</v>
      </c>
      <c r="AH8" s="39">
        <v>45.7</v>
      </c>
      <c r="AI8" s="40">
        <v>101.6</v>
      </c>
      <c r="AJ8" s="40">
        <v>34</v>
      </c>
      <c r="AK8" s="40">
        <f>27+0.1</f>
        <v>27.1</v>
      </c>
      <c r="AL8" s="39">
        <v>34.5</v>
      </c>
      <c r="AM8" s="40">
        <v>193.7</v>
      </c>
      <c r="AN8" s="40">
        <f>1.2+0.3</f>
        <v>1.5</v>
      </c>
      <c r="AO8" s="40">
        <v>-1</v>
      </c>
      <c r="AP8" s="39">
        <v>24</v>
      </c>
      <c r="AQ8" s="40">
        <v>41.2</v>
      </c>
    </row>
    <row r="9" spans="1:43" s="4" customFormat="1" ht="22.5">
      <c r="A9" s="87" t="s">
        <v>25</v>
      </c>
      <c r="B9" s="39">
        <v>12.4</v>
      </c>
      <c r="C9" s="40">
        <v>10.9</v>
      </c>
      <c r="D9" s="40">
        <v>9.6</v>
      </c>
      <c r="E9" s="40">
        <v>10.7</v>
      </c>
      <c r="F9" s="39">
        <v>11.6</v>
      </c>
      <c r="G9" s="40">
        <v>14.2</v>
      </c>
      <c r="H9" s="40">
        <v>13</v>
      </c>
      <c r="I9" s="41">
        <v>9.4</v>
      </c>
      <c r="J9" s="39">
        <v>10.1</v>
      </c>
      <c r="K9" s="40">
        <v>15.5</v>
      </c>
      <c r="L9" s="40">
        <v>10.4</v>
      </c>
      <c r="M9" s="41">
        <v>16.1</v>
      </c>
      <c r="N9" s="39">
        <v>7.3</v>
      </c>
      <c r="O9" s="40">
        <v>10.9</v>
      </c>
      <c r="P9" s="40">
        <v>10.6</v>
      </c>
      <c r="Q9" s="41">
        <v>12.4</v>
      </c>
      <c r="R9" s="39">
        <v>9.7</v>
      </c>
      <c r="S9" s="40">
        <v>13.2</v>
      </c>
      <c r="T9" s="40">
        <v>8.2</v>
      </c>
      <c r="U9" s="41">
        <v>10.1</v>
      </c>
      <c r="V9" s="39">
        <v>6.8</v>
      </c>
      <c r="W9" s="40">
        <v>11.2</v>
      </c>
      <c r="X9" s="68">
        <v>7.6</v>
      </c>
      <c r="Y9" s="69">
        <v>10.1</v>
      </c>
      <c r="Z9" s="39">
        <v>9</v>
      </c>
      <c r="AA9" s="40">
        <v>7.800000000000001</v>
      </c>
      <c r="AB9" s="40">
        <v>9.3</v>
      </c>
      <c r="AC9" s="41">
        <v>12</v>
      </c>
      <c r="AD9" s="40">
        <v>11.2</v>
      </c>
      <c r="AE9" s="40">
        <v>1.1</v>
      </c>
      <c r="AF9" s="68">
        <v>0</v>
      </c>
      <c r="AG9" s="68">
        <v>0</v>
      </c>
      <c r="AH9" s="39">
        <v>0</v>
      </c>
      <c r="AI9" s="40">
        <v>0</v>
      </c>
      <c r="AJ9" s="40">
        <v>0</v>
      </c>
      <c r="AK9" s="40">
        <v>0</v>
      </c>
      <c r="AL9" s="39">
        <v>0</v>
      </c>
      <c r="AM9" s="40">
        <v>0</v>
      </c>
      <c r="AN9" s="40">
        <v>0</v>
      </c>
      <c r="AO9" s="40">
        <v>0</v>
      </c>
      <c r="AP9" s="39">
        <v>0</v>
      </c>
      <c r="AQ9" s="40">
        <v>0</v>
      </c>
    </row>
    <row r="10" spans="1:43" s="9" customFormat="1" ht="12.75">
      <c r="A10" s="97" t="s">
        <v>26</v>
      </c>
      <c r="B10" s="46">
        <f>SUM(B11:B13)</f>
        <v>213.26553822512702</v>
      </c>
      <c r="C10" s="47">
        <f aca="true" t="shared" si="3" ref="C10:X10">SUM(C11:C13)</f>
        <v>218.66553822512702</v>
      </c>
      <c r="D10" s="47">
        <f t="shared" si="3"/>
        <v>226.36553822512704</v>
      </c>
      <c r="E10" s="47">
        <f t="shared" si="3"/>
        <v>224.765538225127</v>
      </c>
      <c r="F10" s="46">
        <f t="shared" si="3"/>
        <v>234.35800878572752</v>
      </c>
      <c r="G10" s="47">
        <f t="shared" si="3"/>
        <v>251.55800878572754</v>
      </c>
      <c r="H10" s="47">
        <f t="shared" si="3"/>
        <v>250.45800878572754</v>
      </c>
      <c r="I10" s="48">
        <f t="shared" si="3"/>
        <v>228.55800878572757</v>
      </c>
      <c r="J10" s="46">
        <f t="shared" si="3"/>
        <v>230.28504180498365</v>
      </c>
      <c r="K10" s="47">
        <f t="shared" si="3"/>
        <v>249.18504180498365</v>
      </c>
      <c r="L10" s="47">
        <f t="shared" si="3"/>
        <v>253.38504180498364</v>
      </c>
      <c r="M10" s="48">
        <f t="shared" si="3"/>
        <v>234.18504180498365</v>
      </c>
      <c r="N10" s="46">
        <f t="shared" si="3"/>
        <v>249.46617079147796</v>
      </c>
      <c r="O10" s="47">
        <f t="shared" si="3"/>
        <v>257.766170791478</v>
      </c>
      <c r="P10" s="47">
        <f t="shared" si="3"/>
        <v>264.86617079147794</v>
      </c>
      <c r="Q10" s="48">
        <f t="shared" si="3"/>
        <v>252.96617079147796</v>
      </c>
      <c r="R10" s="46">
        <f t="shared" si="3"/>
        <v>254.5472641701495</v>
      </c>
      <c r="S10" s="47">
        <f t="shared" si="3"/>
        <v>255.2472641701495</v>
      </c>
      <c r="T10" s="47">
        <f t="shared" si="3"/>
        <v>263.2472641701495</v>
      </c>
      <c r="U10" s="48">
        <f t="shared" si="3"/>
        <v>249.04726417014948</v>
      </c>
      <c r="V10" s="46">
        <f t="shared" si="3"/>
        <v>287.20057495025867</v>
      </c>
      <c r="W10" s="47">
        <f t="shared" si="3"/>
        <v>284.50433315224205</v>
      </c>
      <c r="X10" s="247">
        <f t="shared" si="3"/>
        <v>280.3999192923875</v>
      </c>
      <c r="Y10" s="248">
        <f aca="true" t="shared" si="4" ref="Y10:AF10">SUM(Y11:Y13)</f>
        <v>272.7130545003534</v>
      </c>
      <c r="Z10" s="46">
        <f t="shared" si="4"/>
        <v>301.80990405597663</v>
      </c>
      <c r="AA10" s="47">
        <f t="shared" si="4"/>
        <v>296.8309803969903</v>
      </c>
      <c r="AB10" s="47">
        <f t="shared" si="4"/>
        <v>281.6044406615407</v>
      </c>
      <c r="AC10" s="48">
        <f t="shared" si="4"/>
        <v>274.0082234010706</v>
      </c>
      <c r="AD10" s="47">
        <f>SUM(AD11:AD13)</f>
        <v>284.2</v>
      </c>
      <c r="AE10" s="47">
        <f>SUM(AE11:AE13)</f>
        <v>289.1539052279694</v>
      </c>
      <c r="AF10" s="247">
        <f t="shared" si="4"/>
        <v>286.5</v>
      </c>
      <c r="AG10" s="247">
        <f aca="true" t="shared" si="5" ref="AG10:AQ10">SUM(AG11:AG13)</f>
        <v>292.3</v>
      </c>
      <c r="AH10" s="46">
        <f t="shared" si="5"/>
        <v>311.6</v>
      </c>
      <c r="AI10" s="47">
        <f t="shared" si="5"/>
        <v>303.20000000000005</v>
      </c>
      <c r="AJ10" s="47">
        <f t="shared" si="5"/>
        <v>312.6</v>
      </c>
      <c r="AK10" s="47">
        <f t="shared" si="5"/>
        <v>390</v>
      </c>
      <c r="AL10" s="46">
        <f>SUM(AL11:AL13)</f>
        <v>304.5</v>
      </c>
      <c r="AM10" s="47">
        <f>SUM(AM11:AM13)</f>
        <v>302</v>
      </c>
      <c r="AN10" s="47">
        <f>SUM(AN11:AN13)</f>
        <v>317.3</v>
      </c>
      <c r="AO10" s="47">
        <f>SUM(AO11:AO13)</f>
        <v>311.8</v>
      </c>
      <c r="AP10" s="46">
        <f>SUM(AP11:AP13)</f>
        <v>344.29999999999995</v>
      </c>
      <c r="AQ10" s="47">
        <f t="shared" si="5"/>
        <v>306.7</v>
      </c>
    </row>
    <row r="11" spans="1:43" s="9" customFormat="1" ht="12.75">
      <c r="A11" s="89" t="s">
        <v>205</v>
      </c>
      <c r="B11" s="39">
        <v>98.3</v>
      </c>
      <c r="C11" s="40">
        <v>106.9</v>
      </c>
      <c r="D11" s="40">
        <v>110.9</v>
      </c>
      <c r="E11" s="40">
        <v>123.5</v>
      </c>
      <c r="F11" s="39">
        <v>111.2</v>
      </c>
      <c r="G11" s="40">
        <v>112.5</v>
      </c>
      <c r="H11" s="40">
        <v>129</v>
      </c>
      <c r="I11" s="41">
        <v>122.2</v>
      </c>
      <c r="J11" s="39">
        <v>98.4</v>
      </c>
      <c r="K11" s="40">
        <v>108.8</v>
      </c>
      <c r="L11" s="40">
        <v>110.5</v>
      </c>
      <c r="M11" s="41">
        <v>121.1</v>
      </c>
      <c r="N11" s="39">
        <v>109.7</v>
      </c>
      <c r="O11" s="40">
        <v>113.8</v>
      </c>
      <c r="P11" s="40">
        <v>123.4</v>
      </c>
      <c r="Q11" s="41">
        <v>151.2</v>
      </c>
      <c r="R11" s="39">
        <v>121</v>
      </c>
      <c r="S11" s="40">
        <v>117.2</v>
      </c>
      <c r="T11" s="40">
        <v>122</v>
      </c>
      <c r="U11" s="41">
        <v>124.7</v>
      </c>
      <c r="V11" s="39">
        <v>129.62811836869614</v>
      </c>
      <c r="W11" s="40">
        <v>127.32975084192324</v>
      </c>
      <c r="X11" s="68">
        <v>125.97127117940272</v>
      </c>
      <c r="Y11" s="69">
        <v>132.3769768001839</v>
      </c>
      <c r="Z11" s="39">
        <v>128.8682319273081</v>
      </c>
      <c r="AA11" s="40">
        <v>129.3098148567379</v>
      </c>
      <c r="AB11" s="40">
        <v>130.91396921036718</v>
      </c>
      <c r="AC11" s="41">
        <v>154.61098480098664</v>
      </c>
      <c r="AD11" s="40">
        <v>131.6</v>
      </c>
      <c r="AE11" s="40">
        <v>138.4</v>
      </c>
      <c r="AF11" s="68">
        <v>132.7</v>
      </c>
      <c r="AG11" s="68">
        <v>139.8</v>
      </c>
      <c r="AH11" s="39">
        <v>135.3</v>
      </c>
      <c r="AI11" s="40">
        <v>135.1</v>
      </c>
      <c r="AJ11" s="40">
        <v>138.1</v>
      </c>
      <c r="AK11" s="40">
        <v>146.3</v>
      </c>
      <c r="AL11" s="39">
        <v>144</v>
      </c>
      <c r="AM11" s="40">
        <v>144.8</v>
      </c>
      <c r="AN11" s="40">
        <v>151.5</v>
      </c>
      <c r="AO11" s="40">
        <v>158.8</v>
      </c>
      <c r="AP11" s="39">
        <v>144.65</v>
      </c>
      <c r="AQ11" s="40">
        <v>153.1</v>
      </c>
    </row>
    <row r="12" spans="1:43" s="7" customFormat="1" ht="12.75">
      <c r="A12" s="87" t="s">
        <v>206</v>
      </c>
      <c r="B12" s="39">
        <v>22</v>
      </c>
      <c r="C12" s="40">
        <v>23</v>
      </c>
      <c r="D12" s="40">
        <v>22.3</v>
      </c>
      <c r="E12" s="40">
        <v>31.2</v>
      </c>
      <c r="F12" s="39">
        <v>25</v>
      </c>
      <c r="G12" s="40">
        <v>25.6</v>
      </c>
      <c r="H12" s="40">
        <v>24.8</v>
      </c>
      <c r="I12" s="41">
        <v>24.1</v>
      </c>
      <c r="J12" s="39">
        <v>23.3</v>
      </c>
      <c r="K12" s="40">
        <v>24.3</v>
      </c>
      <c r="L12" s="40">
        <v>23.4</v>
      </c>
      <c r="M12" s="41">
        <v>23.5</v>
      </c>
      <c r="N12" s="39">
        <v>21.6</v>
      </c>
      <c r="O12" s="40">
        <v>22</v>
      </c>
      <c r="P12" s="40">
        <v>22.2</v>
      </c>
      <c r="Q12" s="41">
        <v>23.8</v>
      </c>
      <c r="R12" s="39">
        <v>21.8</v>
      </c>
      <c r="S12" s="40">
        <v>22.1</v>
      </c>
      <c r="T12" s="40">
        <v>24.5</v>
      </c>
      <c r="U12" s="41">
        <v>25</v>
      </c>
      <c r="V12" s="39">
        <v>24.20182782446051</v>
      </c>
      <c r="W12" s="40">
        <v>25.002182820688386</v>
      </c>
      <c r="X12" s="68">
        <v>25.51121179766696</v>
      </c>
      <c r="Y12" s="69">
        <v>30.512452537068643</v>
      </c>
      <c r="Z12" s="39">
        <v>28.83703354704094</v>
      </c>
      <c r="AA12" s="40">
        <v>28.78970450560628</v>
      </c>
      <c r="AB12" s="40">
        <v>27.620026792403394</v>
      </c>
      <c r="AC12" s="41">
        <v>31.538412793044863</v>
      </c>
      <c r="AD12" s="40">
        <v>26.3</v>
      </c>
      <c r="AE12" s="40">
        <v>26.7539052279694</v>
      </c>
      <c r="AF12" s="68">
        <v>27.1</v>
      </c>
      <c r="AG12" s="68">
        <v>42.1</v>
      </c>
      <c r="AH12" s="39">
        <v>29.4</v>
      </c>
      <c r="AI12" s="40">
        <v>32.7</v>
      </c>
      <c r="AJ12" s="40">
        <v>32.2</v>
      </c>
      <c r="AK12" s="40">
        <v>46.5</v>
      </c>
      <c r="AL12" s="39">
        <v>32.5</v>
      </c>
      <c r="AM12" s="40">
        <v>34.8</v>
      </c>
      <c r="AN12" s="40">
        <v>36</v>
      </c>
      <c r="AO12" s="40">
        <v>52.6</v>
      </c>
      <c r="AP12" s="39">
        <v>35.3</v>
      </c>
      <c r="AQ12" s="40">
        <v>35.6</v>
      </c>
    </row>
    <row r="13" spans="1:43" s="9" customFormat="1" ht="12.75">
      <c r="A13" s="87" t="s">
        <v>207</v>
      </c>
      <c r="B13" s="39">
        <v>92.96553822512702</v>
      </c>
      <c r="C13" s="40">
        <v>88.76553822512702</v>
      </c>
      <c r="D13" s="40">
        <v>93.16553822512702</v>
      </c>
      <c r="E13" s="40">
        <v>70.06553822512701</v>
      </c>
      <c r="F13" s="39">
        <v>98.15800878572755</v>
      </c>
      <c r="G13" s="40">
        <v>113.45800878572754</v>
      </c>
      <c r="H13" s="40">
        <v>96.65800878572755</v>
      </c>
      <c r="I13" s="41">
        <v>82.25800878572755</v>
      </c>
      <c r="J13" s="39">
        <v>108.58504180498365</v>
      </c>
      <c r="K13" s="40">
        <v>116.08504180498365</v>
      </c>
      <c r="L13" s="40">
        <v>119.48504180498365</v>
      </c>
      <c r="M13" s="41">
        <v>89.58504180498365</v>
      </c>
      <c r="N13" s="39">
        <v>118.16617079147795</v>
      </c>
      <c r="O13" s="40">
        <v>121.96617079147796</v>
      </c>
      <c r="P13" s="40">
        <v>119.26617079147796</v>
      </c>
      <c r="Q13" s="41">
        <v>77.96617079147796</v>
      </c>
      <c r="R13" s="39">
        <v>111.74726417014949</v>
      </c>
      <c r="S13" s="40">
        <v>115.94726417014948</v>
      </c>
      <c r="T13" s="40">
        <v>116.74726417014948</v>
      </c>
      <c r="U13" s="41">
        <v>99.34726417014949</v>
      </c>
      <c r="V13" s="39">
        <v>133.370628757102</v>
      </c>
      <c r="W13" s="40">
        <v>132.17239948963044</v>
      </c>
      <c r="X13" s="68">
        <v>128.91743631531781</v>
      </c>
      <c r="Y13" s="69">
        <v>109.82362516310086</v>
      </c>
      <c r="Z13" s="39">
        <v>144.10463858162757</v>
      </c>
      <c r="AA13" s="40">
        <v>138.73146103464614</v>
      </c>
      <c r="AB13" s="40">
        <v>123.07044465877014</v>
      </c>
      <c r="AC13" s="41">
        <v>87.85882580703907</v>
      </c>
      <c r="AD13" s="40">
        <v>126.3</v>
      </c>
      <c r="AE13" s="40">
        <v>124</v>
      </c>
      <c r="AF13" s="68">
        <v>126.7</v>
      </c>
      <c r="AG13" s="68">
        <v>110.4</v>
      </c>
      <c r="AH13" s="39">
        <v>146.9</v>
      </c>
      <c r="AI13" s="40">
        <v>135.4</v>
      </c>
      <c r="AJ13" s="40">
        <v>142.3</v>
      </c>
      <c r="AK13" s="40">
        <v>197.2</v>
      </c>
      <c r="AL13" s="39">
        <v>128</v>
      </c>
      <c r="AM13" s="40">
        <v>122.4</v>
      </c>
      <c r="AN13" s="40">
        <v>129.8</v>
      </c>
      <c r="AO13" s="40">
        <v>100.4</v>
      </c>
      <c r="AP13" s="39">
        <v>164.35</v>
      </c>
      <c r="AQ13" s="40">
        <v>118</v>
      </c>
    </row>
    <row r="14" spans="1:43" s="9" customFormat="1" ht="12.75">
      <c r="A14" s="88" t="s">
        <v>202</v>
      </c>
      <c r="B14" s="46">
        <f>B5-B10</f>
        <v>106.69999999999996</v>
      </c>
      <c r="C14" s="47">
        <f aca="true" t="shared" si="6" ref="C14:X14">C5-C10</f>
        <v>90.69999999999999</v>
      </c>
      <c r="D14" s="47">
        <f t="shared" si="6"/>
        <v>94.20000000000002</v>
      </c>
      <c r="E14" s="47">
        <f t="shared" si="6"/>
        <v>55.900000000000034</v>
      </c>
      <c r="F14" s="46">
        <f t="shared" si="6"/>
        <v>63.10000000000008</v>
      </c>
      <c r="G14" s="47">
        <f t="shared" si="6"/>
        <v>100.80000000000004</v>
      </c>
      <c r="H14" s="47">
        <f t="shared" si="6"/>
        <v>92.39999999999998</v>
      </c>
      <c r="I14" s="48">
        <f t="shared" si="6"/>
        <v>40.89999999999992</v>
      </c>
      <c r="J14" s="46">
        <f t="shared" si="6"/>
        <v>68.1</v>
      </c>
      <c r="K14" s="47">
        <f t="shared" si="6"/>
        <v>104.79999999999995</v>
      </c>
      <c r="L14" s="47">
        <f t="shared" si="6"/>
        <v>87.79999999999995</v>
      </c>
      <c r="M14" s="48">
        <f t="shared" si="6"/>
        <v>72.69999999999999</v>
      </c>
      <c r="N14" s="46">
        <f t="shared" si="6"/>
        <v>59.30000000000001</v>
      </c>
      <c r="O14" s="47">
        <f t="shared" si="6"/>
        <v>103.29999999999995</v>
      </c>
      <c r="P14" s="47">
        <f t="shared" si="6"/>
        <v>105.70000000000005</v>
      </c>
      <c r="Q14" s="48">
        <f t="shared" si="6"/>
        <v>133.7</v>
      </c>
      <c r="R14" s="46">
        <f t="shared" si="6"/>
        <v>134.69999999999993</v>
      </c>
      <c r="S14" s="47">
        <f t="shared" si="6"/>
        <v>146.3</v>
      </c>
      <c r="T14" s="47">
        <f t="shared" si="6"/>
        <v>113.09999999999997</v>
      </c>
      <c r="U14" s="48">
        <f t="shared" si="6"/>
        <v>128.60000000000005</v>
      </c>
      <c r="V14" s="46">
        <f t="shared" si="6"/>
        <v>140.5262649184574</v>
      </c>
      <c r="W14" s="47">
        <f t="shared" si="6"/>
        <v>137.52250671647397</v>
      </c>
      <c r="X14" s="247">
        <f t="shared" si="6"/>
        <v>144.2269205763286</v>
      </c>
      <c r="Y14" s="248">
        <f aca="true" t="shared" si="7" ref="Y14:AF14">Y5-Y10</f>
        <v>133.6137853683627</v>
      </c>
      <c r="Z14" s="46">
        <f t="shared" si="7"/>
        <v>147.05936695978204</v>
      </c>
      <c r="AA14" s="47">
        <f t="shared" si="7"/>
        <v>124.12162187140171</v>
      </c>
      <c r="AB14" s="47">
        <f t="shared" si="7"/>
        <v>146.62365718306387</v>
      </c>
      <c r="AC14" s="48">
        <f t="shared" si="7"/>
        <v>181.1442910475742</v>
      </c>
      <c r="AD14" s="47">
        <f>AD5-AD10</f>
        <v>200.99999999999994</v>
      </c>
      <c r="AE14" s="47">
        <f>AE5-AE10</f>
        <v>207.64609477203055</v>
      </c>
      <c r="AF14" s="247">
        <f t="shared" si="7"/>
        <v>206.60000000000002</v>
      </c>
      <c r="AG14" s="247">
        <f aca="true" t="shared" si="8" ref="AG14:AQ14">AG5-AG10</f>
        <v>176</v>
      </c>
      <c r="AH14" s="46">
        <f t="shared" si="8"/>
        <v>167.99999999999994</v>
      </c>
      <c r="AI14" s="47">
        <f t="shared" si="8"/>
        <v>266.4</v>
      </c>
      <c r="AJ14" s="47">
        <f t="shared" si="8"/>
        <v>218</v>
      </c>
      <c r="AK14" s="47">
        <f t="shared" si="8"/>
        <v>118.5</v>
      </c>
      <c r="AL14" s="46">
        <f>AL5-AL10</f>
        <v>222.89999999999998</v>
      </c>
      <c r="AM14" s="47">
        <f>AM5-AM10</f>
        <v>413.5</v>
      </c>
      <c r="AN14" s="47">
        <f>AN5-AN10</f>
        <v>292.99999999999994</v>
      </c>
      <c r="AO14" s="47">
        <f>AO5-AO10</f>
        <v>310.8</v>
      </c>
      <c r="AP14" s="46">
        <f>AP5-AP10</f>
        <v>289.9000000000001</v>
      </c>
      <c r="AQ14" s="47">
        <f t="shared" si="8"/>
        <v>371.6000000000001</v>
      </c>
    </row>
    <row r="15" spans="1:43" s="9" customFormat="1" ht="12.75">
      <c r="A15" s="89" t="s">
        <v>27</v>
      </c>
      <c r="B15" s="39">
        <v>-2.4</v>
      </c>
      <c r="C15" s="40">
        <v>-10.4</v>
      </c>
      <c r="D15" s="40">
        <v>-25</v>
      </c>
      <c r="E15" s="40">
        <v>-2.2</v>
      </c>
      <c r="F15" s="39">
        <v>-2.6</v>
      </c>
      <c r="G15" s="40">
        <v>6</v>
      </c>
      <c r="H15" s="40">
        <v>4.9</v>
      </c>
      <c r="I15" s="41">
        <v>20.1</v>
      </c>
      <c r="J15" s="39">
        <v>12.8</v>
      </c>
      <c r="K15" s="40">
        <v>6.8</v>
      </c>
      <c r="L15" s="40">
        <v>21.4</v>
      </c>
      <c r="M15" s="41">
        <v>22.8</v>
      </c>
      <c r="N15" s="39">
        <v>21.2</v>
      </c>
      <c r="O15" s="40">
        <v>13</v>
      </c>
      <c r="P15" s="40">
        <v>21.3</v>
      </c>
      <c r="Q15" s="41">
        <v>25.6</v>
      </c>
      <c r="R15" s="39">
        <v>33.9</v>
      </c>
      <c r="S15" s="40">
        <v>21.2</v>
      </c>
      <c r="T15" s="40">
        <v>21</v>
      </c>
      <c r="U15" s="41">
        <v>14.1</v>
      </c>
      <c r="V15" s="39">
        <v>19.2</v>
      </c>
      <c r="W15" s="40">
        <v>25.2</v>
      </c>
      <c r="X15" s="68">
        <v>21.5</v>
      </c>
      <c r="Y15" s="69">
        <v>24.2</v>
      </c>
      <c r="Z15" s="39">
        <v>37.98092087615715</v>
      </c>
      <c r="AA15" s="40">
        <v>40.428718098421875</v>
      </c>
      <c r="AB15" s="40">
        <v>33.01027838654345</v>
      </c>
      <c r="AC15" s="41">
        <v>17.01505583014783</v>
      </c>
      <c r="AD15" s="39">
        <v>36.7</v>
      </c>
      <c r="AE15" s="40">
        <v>10.6</v>
      </c>
      <c r="AF15" s="68">
        <v>13.2</v>
      </c>
      <c r="AG15" s="69">
        <v>18.2</v>
      </c>
      <c r="AH15" s="39">
        <v>33.8</v>
      </c>
      <c r="AI15" s="40">
        <v>23.6</v>
      </c>
      <c r="AJ15" s="68">
        <v>7.8</v>
      </c>
      <c r="AK15" s="69">
        <f>4.6</f>
        <v>4.6</v>
      </c>
      <c r="AL15" s="39">
        <v>16.4</v>
      </c>
      <c r="AM15" s="40">
        <v>20.6</v>
      </c>
      <c r="AN15" s="68">
        <f>21.5+3.9</f>
        <v>25.4</v>
      </c>
      <c r="AO15" s="69">
        <v>75.1</v>
      </c>
      <c r="AP15" s="39">
        <v>42.8</v>
      </c>
      <c r="AQ15" s="40">
        <v>43.2</v>
      </c>
    </row>
    <row r="16" spans="1:43"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40">
        <v>0</v>
      </c>
      <c r="AA16" s="40">
        <v>0</v>
      </c>
      <c r="AB16" s="40">
        <v>0</v>
      </c>
      <c r="AC16" s="40">
        <v>0</v>
      </c>
      <c r="AD16" s="39">
        <v>0</v>
      </c>
      <c r="AE16" s="40">
        <v>0</v>
      </c>
      <c r="AF16" s="68">
        <v>0</v>
      </c>
      <c r="AG16" s="69">
        <v>0</v>
      </c>
      <c r="AH16" s="39">
        <v>0</v>
      </c>
      <c r="AI16" s="40">
        <v>0</v>
      </c>
      <c r="AJ16" s="68">
        <v>0</v>
      </c>
      <c r="AK16" s="69">
        <v>0</v>
      </c>
      <c r="AL16" s="39">
        <v>17.7</v>
      </c>
      <c r="AM16" s="40">
        <v>27.7</v>
      </c>
      <c r="AN16" s="68">
        <f>27.6+0.1</f>
        <v>27.700000000000003</v>
      </c>
      <c r="AO16" s="69">
        <v>28.6</v>
      </c>
      <c r="AP16" s="39">
        <v>31.8</v>
      </c>
      <c r="AQ16" s="40">
        <v>28.5</v>
      </c>
    </row>
    <row r="17" spans="1:43" s="9" customFormat="1" ht="24" customHeight="1">
      <c r="A17" s="98" t="s">
        <v>203</v>
      </c>
      <c r="B17" s="93">
        <f>B14-B15</f>
        <v>109.09999999999997</v>
      </c>
      <c r="C17" s="94">
        <f aca="true" t="shared" si="9" ref="C17:X17">C14-C15</f>
        <v>101.1</v>
      </c>
      <c r="D17" s="94">
        <f t="shared" si="9"/>
        <v>119.20000000000002</v>
      </c>
      <c r="E17" s="94">
        <f t="shared" si="9"/>
        <v>58.10000000000004</v>
      </c>
      <c r="F17" s="93">
        <f t="shared" si="9"/>
        <v>65.70000000000007</v>
      </c>
      <c r="G17" s="94">
        <f t="shared" si="9"/>
        <v>94.80000000000004</v>
      </c>
      <c r="H17" s="94">
        <f t="shared" si="9"/>
        <v>87.49999999999997</v>
      </c>
      <c r="I17" s="94">
        <f t="shared" si="9"/>
        <v>20.79999999999992</v>
      </c>
      <c r="J17" s="93">
        <f t="shared" si="9"/>
        <v>55.3</v>
      </c>
      <c r="K17" s="94">
        <f t="shared" si="9"/>
        <v>97.99999999999996</v>
      </c>
      <c r="L17" s="94">
        <f t="shared" si="9"/>
        <v>66.39999999999995</v>
      </c>
      <c r="M17" s="94">
        <f t="shared" si="9"/>
        <v>49.89999999999999</v>
      </c>
      <c r="N17" s="93">
        <f t="shared" si="9"/>
        <v>38.10000000000001</v>
      </c>
      <c r="O17" s="94">
        <f t="shared" si="9"/>
        <v>90.29999999999995</v>
      </c>
      <c r="P17" s="94">
        <f t="shared" si="9"/>
        <v>84.40000000000005</v>
      </c>
      <c r="Q17" s="94">
        <f t="shared" si="9"/>
        <v>108.1</v>
      </c>
      <c r="R17" s="93">
        <f t="shared" si="9"/>
        <v>100.79999999999993</v>
      </c>
      <c r="S17" s="94">
        <f t="shared" si="9"/>
        <v>125.10000000000001</v>
      </c>
      <c r="T17" s="94">
        <f t="shared" si="9"/>
        <v>92.09999999999997</v>
      </c>
      <c r="U17" s="94">
        <f t="shared" si="9"/>
        <v>114.50000000000006</v>
      </c>
      <c r="V17" s="93">
        <f t="shared" si="9"/>
        <v>121.3262649184574</v>
      </c>
      <c r="W17" s="94">
        <f t="shared" si="9"/>
        <v>112.32250671647397</v>
      </c>
      <c r="X17" s="94">
        <f t="shared" si="9"/>
        <v>122.72692057632861</v>
      </c>
      <c r="Y17" s="95">
        <f aca="true" t="shared" si="10" ref="Y17:AF17">Y14-Y15</f>
        <v>109.4137853683627</v>
      </c>
      <c r="Z17" s="94">
        <f t="shared" si="10"/>
        <v>109.0784460836249</v>
      </c>
      <c r="AA17" s="94">
        <f t="shared" si="10"/>
        <v>83.69290377297983</v>
      </c>
      <c r="AB17" s="94">
        <f t="shared" si="10"/>
        <v>113.61337879652042</v>
      </c>
      <c r="AC17" s="94">
        <f t="shared" si="10"/>
        <v>164.12923521742636</v>
      </c>
      <c r="AD17" s="93">
        <f>AD14-AD15</f>
        <v>164.29999999999995</v>
      </c>
      <c r="AE17" s="94">
        <f>AE14-AE15</f>
        <v>197.04609477203056</v>
      </c>
      <c r="AF17" s="94">
        <f t="shared" si="10"/>
        <v>193.40000000000003</v>
      </c>
      <c r="AG17" s="95">
        <f>AG14-AG15</f>
        <v>157.8</v>
      </c>
      <c r="AH17" s="93">
        <f>AH14-AH15</f>
        <v>134.19999999999993</v>
      </c>
      <c r="AI17" s="94">
        <f>AI14-AI15</f>
        <v>242.79999999999998</v>
      </c>
      <c r="AJ17" s="94">
        <f>AJ14-AJ15</f>
        <v>210.2</v>
      </c>
      <c r="AK17" s="95">
        <f>AK14-AK15</f>
        <v>113.9</v>
      </c>
      <c r="AL17" s="93">
        <f aca="true" t="shared" si="11" ref="AL17:AQ17">AL14-AL15-AL16</f>
        <v>188.79999999999998</v>
      </c>
      <c r="AM17" s="94">
        <f t="shared" si="11"/>
        <v>365.2</v>
      </c>
      <c r="AN17" s="94">
        <f t="shared" si="11"/>
        <v>239.89999999999998</v>
      </c>
      <c r="AO17" s="95">
        <f t="shared" si="11"/>
        <v>207.10000000000002</v>
      </c>
      <c r="AP17" s="93">
        <f t="shared" si="11"/>
        <v>215.30000000000007</v>
      </c>
      <c r="AQ17" s="94">
        <f t="shared" si="11"/>
        <v>299.9000000000001</v>
      </c>
    </row>
    <row r="18" spans="1:43" ht="12.75">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row>
    <row r="19" spans="1:43"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row>
    <row r="21" ht="12.75">
      <c r="A21" s="3"/>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2">
    <mergeCell ref="R2:U2"/>
    <mergeCell ref="AP2:AQ2"/>
    <mergeCell ref="A2:A3"/>
    <mergeCell ref="B2:E2"/>
    <mergeCell ref="F2:I2"/>
    <mergeCell ref="J2:M2"/>
    <mergeCell ref="AL2:AO2"/>
    <mergeCell ref="N2:Q2"/>
    <mergeCell ref="AH2:AK2"/>
    <mergeCell ref="AD2:AG2"/>
    <mergeCell ref="Z2:AC2"/>
    <mergeCell ref="V2:Y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AQ57"/>
  <sheetViews>
    <sheetView showGridLines="0" view="pageBreakPreview" zoomScaleSheetLayoutView="100" zoomScalePageLayoutView="80" workbookViewId="0" topLeftCell="A1">
      <pane xSplit="1" ySplit="3" topLeftCell="M4" activePane="bottomRight" state="frozen"/>
      <selection pane="topLeft" activeCell="B1" sqref="B1"/>
      <selection pane="topRight" activeCell="C1" sqref="C1"/>
      <selection pane="bottomLeft" activeCell="B4" sqref="B4"/>
      <selection pane="bottomRight" activeCell="A2" sqref="A2:A3"/>
    </sheetView>
  </sheetViews>
  <sheetFormatPr defaultColWidth="8.875" defaultRowHeight="12.75"/>
  <cols>
    <col min="1" max="1" width="45.75390625" style="2" customWidth="1"/>
    <col min="2" max="25" width="4.875" style="3" customWidth="1"/>
    <col min="26" max="31" width="4.875" style="3" bestFit="1" customWidth="1"/>
    <col min="32" max="32" width="5.875" style="3" customWidth="1"/>
    <col min="33" max="33" width="6.00390625" style="3" customWidth="1"/>
    <col min="34" max="34" width="6.25390625" style="3" customWidth="1"/>
    <col min="35" max="35" width="4.875" style="3" bestFit="1" customWidth="1"/>
    <col min="36" max="37" width="5.00390625" style="3" customWidth="1"/>
    <col min="38" max="40" width="6.25390625" style="3" customWidth="1"/>
    <col min="41" max="41" width="6.00390625" style="3" customWidth="1"/>
    <col min="42" max="43" width="6.25390625" style="3" customWidth="1"/>
    <col min="44" max="16384" width="8.875" style="3" customWidth="1"/>
  </cols>
  <sheetData>
    <row r="1" spans="1:7" s="4" customFormat="1" ht="12.75" customHeight="1">
      <c r="A1" s="316" t="s">
        <v>352</v>
      </c>
      <c r="G1" s="238"/>
    </row>
    <row r="2" spans="1:43" ht="12.75" customHeight="1">
      <c r="A2" s="332" t="s">
        <v>8</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34">
        <v>2014</v>
      </c>
      <c r="AE2" s="335"/>
      <c r="AF2" s="335"/>
      <c r="AG2" s="337"/>
      <c r="AH2" s="334">
        <v>2015</v>
      </c>
      <c r="AI2" s="335"/>
      <c r="AJ2" s="335"/>
      <c r="AK2" s="335"/>
      <c r="AL2" s="334">
        <v>2016</v>
      </c>
      <c r="AM2" s="335"/>
      <c r="AN2" s="335"/>
      <c r="AO2" s="335"/>
      <c r="AP2" s="340">
        <v>2017</v>
      </c>
      <c r="AQ2" s="335"/>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5" t="s">
        <v>3</v>
      </c>
      <c r="AH3" s="34" t="s">
        <v>0</v>
      </c>
      <c r="AI3" s="35" t="s">
        <v>1</v>
      </c>
      <c r="AJ3" s="35" t="s">
        <v>2</v>
      </c>
      <c r="AK3" s="35" t="s">
        <v>3</v>
      </c>
      <c r="AL3" s="34" t="s">
        <v>0</v>
      </c>
      <c r="AM3" s="35" t="s">
        <v>1</v>
      </c>
      <c r="AN3" s="35" t="s">
        <v>2</v>
      </c>
      <c r="AO3" s="35" t="s">
        <v>3</v>
      </c>
      <c r="AP3" s="34" t="s">
        <v>0</v>
      </c>
      <c r="AQ3" s="267" t="s">
        <v>1</v>
      </c>
    </row>
    <row r="4" spans="1:43"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5"/>
      <c r="AH4" s="16"/>
      <c r="AI4" s="5"/>
      <c r="AJ4" s="5"/>
      <c r="AK4" s="5"/>
      <c r="AL4" s="16"/>
      <c r="AM4" s="5"/>
      <c r="AN4" s="5"/>
      <c r="AO4" s="5"/>
      <c r="AP4" s="16"/>
      <c r="AQ4" s="5"/>
    </row>
    <row r="5" spans="1:43" s="7" customFormat="1" ht="12.75">
      <c r="A5" s="37" t="s">
        <v>70</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0"/>
      <c r="AH5" s="39"/>
      <c r="AI5" s="40"/>
      <c r="AJ5" s="40"/>
      <c r="AK5" s="40"/>
      <c r="AL5" s="39"/>
      <c r="AM5" s="40"/>
      <c r="AN5" s="40"/>
      <c r="AO5" s="40"/>
      <c r="AP5" s="39"/>
      <c r="AQ5" s="40"/>
    </row>
    <row r="6" spans="1:43" s="7" customFormat="1" ht="12.75">
      <c r="A6" s="87" t="s">
        <v>71</v>
      </c>
      <c r="B6" s="39">
        <v>196.4</v>
      </c>
      <c r="C6" s="40">
        <v>219.2</v>
      </c>
      <c r="D6" s="40">
        <v>237</v>
      </c>
      <c r="E6" s="40">
        <v>220.2</v>
      </c>
      <c r="F6" s="39">
        <v>214.6</v>
      </c>
      <c r="G6" s="40">
        <v>176.10000000000002</v>
      </c>
      <c r="H6" s="40">
        <v>143</v>
      </c>
      <c r="I6" s="41">
        <v>139.2</v>
      </c>
      <c r="J6" s="39">
        <v>66.6</v>
      </c>
      <c r="K6" s="40">
        <v>39</v>
      </c>
      <c r="L6" s="40">
        <v>31.2</v>
      </c>
      <c r="M6" s="41">
        <v>32.2</v>
      </c>
      <c r="N6" s="39">
        <v>24.2</v>
      </c>
      <c r="O6" s="40">
        <v>29.9</v>
      </c>
      <c r="P6" s="40">
        <v>21.7</v>
      </c>
      <c r="Q6" s="41">
        <v>23.5</v>
      </c>
      <c r="R6" s="39">
        <v>26.3</v>
      </c>
      <c r="S6" s="40">
        <v>29.8</v>
      </c>
      <c r="T6" s="40">
        <v>30.2</v>
      </c>
      <c r="U6" s="41">
        <v>41.9</v>
      </c>
      <c r="V6" s="39">
        <f>26.8-26.8+26.9</f>
        <v>26.9</v>
      </c>
      <c r="W6" s="40">
        <f>30.4-30.4+31</f>
        <v>31</v>
      </c>
      <c r="X6" s="40">
        <v>37.4</v>
      </c>
      <c r="Y6" s="41">
        <v>40.5</v>
      </c>
      <c r="Z6" s="39">
        <v>27.8</v>
      </c>
      <c r="AA6" s="40">
        <v>25.3</v>
      </c>
      <c r="AB6" s="40">
        <v>23.8</v>
      </c>
      <c r="AC6" s="41">
        <v>28.5</v>
      </c>
      <c r="AD6" s="39">
        <v>28.7</v>
      </c>
      <c r="AE6" s="40">
        <v>23.8</v>
      </c>
      <c r="AF6" s="40">
        <v>22.3</v>
      </c>
      <c r="AG6" s="40">
        <v>17.8</v>
      </c>
      <c r="AH6" s="39">
        <v>15.9</v>
      </c>
      <c r="AI6" s="40">
        <v>15.4</v>
      </c>
      <c r="AJ6" s="40">
        <v>17.1</v>
      </c>
      <c r="AK6" s="40">
        <v>14.4</v>
      </c>
      <c r="AL6" s="39">
        <v>12.3</v>
      </c>
      <c r="AM6" s="40">
        <v>13.9</v>
      </c>
      <c r="AN6" s="40">
        <v>12.7</v>
      </c>
      <c r="AO6" s="40">
        <v>12.3</v>
      </c>
      <c r="AP6" s="39">
        <v>12.5</v>
      </c>
      <c r="AQ6" s="40">
        <v>13.7</v>
      </c>
    </row>
    <row r="7" spans="1:43" s="7" customFormat="1" ht="12.75">
      <c r="A7" s="87" t="s">
        <v>72</v>
      </c>
      <c r="B7" s="39">
        <v>193.10000000000002</v>
      </c>
      <c r="C7" s="40">
        <v>216.6</v>
      </c>
      <c r="D7" s="40">
        <v>237.50000000000003</v>
      </c>
      <c r="E7" s="40">
        <v>277.4</v>
      </c>
      <c r="F7" s="39">
        <v>305.2</v>
      </c>
      <c r="G7" s="40">
        <v>353.2</v>
      </c>
      <c r="H7" s="40">
        <v>404.20000000000005</v>
      </c>
      <c r="I7" s="41">
        <v>438.7</v>
      </c>
      <c r="J7" s="39">
        <v>423.4</v>
      </c>
      <c r="K7" s="40">
        <v>419.3</v>
      </c>
      <c r="L7" s="40">
        <v>412.00000000000006</v>
      </c>
      <c r="M7" s="41">
        <v>404.7</v>
      </c>
      <c r="N7" s="39">
        <v>424.2</v>
      </c>
      <c r="O7" s="40">
        <v>431.40000000000003</v>
      </c>
      <c r="P7" s="40">
        <v>461.7</v>
      </c>
      <c r="Q7" s="41">
        <v>479.2</v>
      </c>
      <c r="R7" s="39">
        <v>497.1</v>
      </c>
      <c r="S7" s="40">
        <v>546.6</v>
      </c>
      <c r="T7" s="40">
        <v>608.3</v>
      </c>
      <c r="U7" s="41">
        <v>635.1</v>
      </c>
      <c r="V7" s="39">
        <v>707.7</v>
      </c>
      <c r="W7" s="40">
        <v>732.9999999999999</v>
      </c>
      <c r="X7" s="40">
        <v>742.2</v>
      </c>
      <c r="Y7" s="41">
        <v>736.2</v>
      </c>
      <c r="Z7" s="39">
        <v>685.3</v>
      </c>
      <c r="AA7" s="40">
        <f>677.5-8.7</f>
        <v>668.8</v>
      </c>
      <c r="AB7" s="40">
        <v>666.8</v>
      </c>
      <c r="AC7" s="41">
        <v>672.7</v>
      </c>
      <c r="AD7" s="39">
        <v>674.4</v>
      </c>
      <c r="AE7" s="40">
        <v>698.5</v>
      </c>
      <c r="AF7" s="40">
        <v>727.4</v>
      </c>
      <c r="AG7" s="40">
        <v>706.9</v>
      </c>
      <c r="AH7" s="39">
        <v>684.1</v>
      </c>
      <c r="AI7" s="40">
        <v>690.1</v>
      </c>
      <c r="AJ7" s="40">
        <v>736.8</v>
      </c>
      <c r="AK7" s="40">
        <v>748.2</v>
      </c>
      <c r="AL7" s="39">
        <v>743.3</v>
      </c>
      <c r="AM7" s="40">
        <v>762</v>
      </c>
      <c r="AN7" s="40">
        <v>800.2</v>
      </c>
      <c r="AO7" s="40">
        <v>819.8</v>
      </c>
      <c r="AP7" s="39">
        <v>825.4</v>
      </c>
      <c r="AQ7" s="40">
        <v>866.1</v>
      </c>
    </row>
    <row r="8" spans="1:43" s="7" customFormat="1" ht="12.75">
      <c r="A8" s="105" t="s">
        <v>269</v>
      </c>
      <c r="B8" s="57">
        <v>0</v>
      </c>
      <c r="C8" s="58">
        <v>0</v>
      </c>
      <c r="D8" s="58">
        <v>0</v>
      </c>
      <c r="E8" s="58">
        <v>0</v>
      </c>
      <c r="F8" s="57">
        <v>0</v>
      </c>
      <c r="G8" s="58">
        <v>0</v>
      </c>
      <c r="H8" s="58">
        <v>0</v>
      </c>
      <c r="I8" s="59">
        <v>0</v>
      </c>
      <c r="J8" s="57">
        <v>0</v>
      </c>
      <c r="K8" s="58">
        <v>0</v>
      </c>
      <c r="L8" s="58">
        <v>0</v>
      </c>
      <c r="M8" s="59">
        <v>0</v>
      </c>
      <c r="N8" s="57">
        <v>0</v>
      </c>
      <c r="O8" s="58">
        <v>0</v>
      </c>
      <c r="P8" s="58">
        <v>0</v>
      </c>
      <c r="Q8" s="59">
        <v>0</v>
      </c>
      <c r="R8" s="57">
        <v>0</v>
      </c>
      <c r="S8" s="58">
        <v>0</v>
      </c>
      <c r="T8" s="58">
        <v>0</v>
      </c>
      <c r="U8" s="59">
        <v>0</v>
      </c>
      <c r="V8" s="57">
        <f>41.9-41.9+42.1</f>
        <v>42.1</v>
      </c>
      <c r="W8" s="58">
        <f>42.2-42.2+42.8</f>
        <v>42.8</v>
      </c>
      <c r="X8" s="58">
        <f>43.6-43.6+44</f>
        <v>44</v>
      </c>
      <c r="Y8" s="59">
        <v>39.2</v>
      </c>
      <c r="Z8" s="57">
        <v>40.2</v>
      </c>
      <c r="AA8" s="58">
        <v>37.8</v>
      </c>
      <c r="AB8" s="58">
        <v>37.2</v>
      </c>
      <c r="AC8" s="59">
        <v>39.5</v>
      </c>
      <c r="AD8" s="57">
        <v>39.3</v>
      </c>
      <c r="AE8" s="58">
        <v>42.1</v>
      </c>
      <c r="AF8" s="58">
        <v>44.5</v>
      </c>
      <c r="AG8" s="58">
        <v>42.4</v>
      </c>
      <c r="AH8" s="57">
        <v>40.9</v>
      </c>
      <c r="AI8" s="58">
        <v>38.4</v>
      </c>
      <c r="AJ8" s="58">
        <v>41.6</v>
      </c>
      <c r="AK8" s="58">
        <v>44.7</v>
      </c>
      <c r="AL8" s="57">
        <v>40.5</v>
      </c>
      <c r="AM8" s="58">
        <v>41</v>
      </c>
      <c r="AN8" s="58">
        <v>43.3</v>
      </c>
      <c r="AO8" s="58">
        <v>45</v>
      </c>
      <c r="AP8" s="57">
        <v>43.8</v>
      </c>
      <c r="AQ8" s="58">
        <v>46.1</v>
      </c>
    </row>
    <row r="9" spans="1:43" s="4" customFormat="1" ht="12.75">
      <c r="A9" s="106" t="s">
        <v>270</v>
      </c>
      <c r="B9" s="57">
        <v>1.8</v>
      </c>
      <c r="C9" s="58">
        <v>2</v>
      </c>
      <c r="D9" s="58">
        <v>1.8</v>
      </c>
      <c r="E9" s="58">
        <v>1.9</v>
      </c>
      <c r="F9" s="57">
        <v>2</v>
      </c>
      <c r="G9" s="58">
        <v>2.8</v>
      </c>
      <c r="H9" s="58">
        <v>2.8</v>
      </c>
      <c r="I9" s="59">
        <v>2.3</v>
      </c>
      <c r="J9" s="57">
        <v>1.4</v>
      </c>
      <c r="K9" s="58">
        <v>1.3</v>
      </c>
      <c r="L9" s="58">
        <v>1.6</v>
      </c>
      <c r="M9" s="59">
        <v>2</v>
      </c>
      <c r="N9" s="57">
        <v>2.2</v>
      </c>
      <c r="O9" s="58">
        <v>2.2</v>
      </c>
      <c r="P9" s="58">
        <v>2.3</v>
      </c>
      <c r="Q9" s="59">
        <v>2.4</v>
      </c>
      <c r="R9" s="57">
        <v>1.8</v>
      </c>
      <c r="S9" s="58">
        <v>2.3</v>
      </c>
      <c r="T9" s="58">
        <v>3.3</v>
      </c>
      <c r="U9" s="59">
        <v>3.8</v>
      </c>
      <c r="V9" s="57">
        <f>22-22+23.9</f>
        <v>23.9</v>
      </c>
      <c r="W9" s="58">
        <f>24-24+25.8</f>
        <v>25.8</v>
      </c>
      <c r="X9" s="58">
        <f>24-24+26.2</f>
        <v>26.2</v>
      </c>
      <c r="Y9" s="59">
        <v>27.1</v>
      </c>
      <c r="Z9" s="57">
        <v>22</v>
      </c>
      <c r="AA9" s="58">
        <v>20.3</v>
      </c>
      <c r="AB9" s="58">
        <v>20.8</v>
      </c>
      <c r="AC9" s="59">
        <v>22.7</v>
      </c>
      <c r="AD9" s="57">
        <v>21.3</v>
      </c>
      <c r="AE9" s="58">
        <v>23.2</v>
      </c>
      <c r="AF9" s="58">
        <v>23.6</v>
      </c>
      <c r="AG9" s="58">
        <v>21.9</v>
      </c>
      <c r="AH9" s="57">
        <v>17.7</v>
      </c>
      <c r="AI9" s="58">
        <v>17.5</v>
      </c>
      <c r="AJ9" s="58">
        <v>18.5</v>
      </c>
      <c r="AK9" s="58">
        <v>19.9</v>
      </c>
      <c r="AL9" s="57">
        <v>19.2</v>
      </c>
      <c r="AM9" s="58">
        <v>20.5</v>
      </c>
      <c r="AN9" s="58">
        <v>23</v>
      </c>
      <c r="AO9" s="58">
        <v>25.5</v>
      </c>
      <c r="AP9" s="57">
        <v>24.5</v>
      </c>
      <c r="AQ9" s="58">
        <v>27</v>
      </c>
    </row>
    <row r="10" spans="1:43" s="4" customFormat="1" ht="12.75">
      <c r="A10" s="38" t="s">
        <v>271</v>
      </c>
      <c r="B10" s="39">
        <v>0</v>
      </c>
      <c r="C10" s="40">
        <v>0</v>
      </c>
      <c r="D10" s="40">
        <v>0</v>
      </c>
      <c r="E10" s="40">
        <v>0</v>
      </c>
      <c r="F10" s="39">
        <v>0</v>
      </c>
      <c r="G10" s="40">
        <v>0</v>
      </c>
      <c r="H10" s="40">
        <v>0</v>
      </c>
      <c r="I10" s="41">
        <v>0</v>
      </c>
      <c r="J10" s="39">
        <v>0</v>
      </c>
      <c r="K10" s="40">
        <v>0</v>
      </c>
      <c r="L10" s="40">
        <v>0</v>
      </c>
      <c r="M10" s="41">
        <v>0</v>
      </c>
      <c r="N10" s="39">
        <v>0</v>
      </c>
      <c r="O10" s="40">
        <v>0</v>
      </c>
      <c r="P10" s="40">
        <v>0</v>
      </c>
      <c r="Q10" s="41">
        <v>0</v>
      </c>
      <c r="R10" s="39">
        <v>0</v>
      </c>
      <c r="S10" s="40">
        <v>0</v>
      </c>
      <c r="T10" s="40">
        <v>0</v>
      </c>
      <c r="U10" s="41">
        <v>0</v>
      </c>
      <c r="V10" s="39">
        <v>0</v>
      </c>
      <c r="W10" s="40">
        <v>0</v>
      </c>
      <c r="X10" s="40">
        <v>0</v>
      </c>
      <c r="Y10" s="41">
        <v>0</v>
      </c>
      <c r="Z10" s="39">
        <v>0</v>
      </c>
      <c r="AA10" s="40">
        <v>8.7</v>
      </c>
      <c r="AB10" s="40">
        <v>1.3</v>
      </c>
      <c r="AC10" s="41">
        <v>1.6</v>
      </c>
      <c r="AD10" s="39">
        <v>3.7</v>
      </c>
      <c r="AE10" s="40">
        <v>4.8</v>
      </c>
      <c r="AF10" s="40">
        <v>4.4</v>
      </c>
      <c r="AG10" s="40">
        <v>2.2</v>
      </c>
      <c r="AH10" s="39">
        <v>3.6</v>
      </c>
      <c r="AI10" s="40">
        <v>1</v>
      </c>
      <c r="AJ10" s="40">
        <v>1.2</v>
      </c>
      <c r="AK10" s="40">
        <v>2.2</v>
      </c>
      <c r="AL10" s="39">
        <v>3.3</v>
      </c>
      <c r="AM10" s="40">
        <v>2.7</v>
      </c>
      <c r="AN10" s="40">
        <v>2.3</v>
      </c>
      <c r="AO10" s="40">
        <v>1.3</v>
      </c>
      <c r="AP10" s="39">
        <v>0.9</v>
      </c>
      <c r="AQ10" s="40">
        <v>0.4</v>
      </c>
    </row>
    <row r="11" spans="1:43" s="7" customFormat="1" ht="12.75">
      <c r="A11" s="38" t="s">
        <v>272</v>
      </c>
      <c r="B11" s="341">
        <v>191.5</v>
      </c>
      <c r="C11" s="341">
        <v>161.3</v>
      </c>
      <c r="D11" s="341">
        <v>150.5</v>
      </c>
      <c r="E11" s="341">
        <v>179.4</v>
      </c>
      <c r="F11" s="39">
        <v>99.01</v>
      </c>
      <c r="G11" s="40">
        <v>121.18999999999998</v>
      </c>
      <c r="H11" s="40">
        <v>193.3</v>
      </c>
      <c r="I11" s="41">
        <v>187.06600000000003</v>
      </c>
      <c r="J11" s="39">
        <v>140.60000000000002</v>
      </c>
      <c r="K11" s="40">
        <v>131.2</v>
      </c>
      <c r="L11" s="40">
        <v>64.60000000000001</v>
      </c>
      <c r="M11" s="41">
        <v>81.4</v>
      </c>
      <c r="N11" s="39">
        <v>85.6</v>
      </c>
      <c r="O11" s="40">
        <f>169.2-12.6</f>
        <v>156.6</v>
      </c>
      <c r="P11" s="40">
        <v>135</v>
      </c>
      <c r="Q11" s="41">
        <v>145.3</v>
      </c>
      <c r="R11" s="39">
        <v>171.9</v>
      </c>
      <c r="S11" s="40">
        <v>184.1</v>
      </c>
      <c r="T11" s="40">
        <v>170.60000000000002</v>
      </c>
      <c r="U11" s="41">
        <v>127.29999999999995</v>
      </c>
      <c r="V11" s="39">
        <v>118.5</v>
      </c>
      <c r="W11" s="40">
        <v>116.4</v>
      </c>
      <c r="X11" s="40">
        <f>126.1+0.1</f>
        <v>126.19999999999999</v>
      </c>
      <c r="Y11" s="41">
        <v>180.9</v>
      </c>
      <c r="Z11" s="39">
        <v>191</v>
      </c>
      <c r="AA11" s="40">
        <v>190.5</v>
      </c>
      <c r="AB11" s="40">
        <v>182.8</v>
      </c>
      <c r="AC11" s="41">
        <v>171.9</v>
      </c>
      <c r="AD11" s="39">
        <v>178.4</v>
      </c>
      <c r="AE11" s="40">
        <v>188.7</v>
      </c>
      <c r="AF11" s="40">
        <v>193.7</v>
      </c>
      <c r="AG11" s="41">
        <v>187.9</v>
      </c>
      <c r="AH11" s="39">
        <v>157.7</v>
      </c>
      <c r="AI11" s="40">
        <v>140.5</v>
      </c>
      <c r="AJ11" s="40">
        <v>138.6</v>
      </c>
      <c r="AK11" s="40">
        <v>125.9</v>
      </c>
      <c r="AL11" s="39">
        <v>124.2</v>
      </c>
      <c r="AM11" s="40">
        <v>124.4</v>
      </c>
      <c r="AN11" s="40">
        <v>134.7</v>
      </c>
      <c r="AO11" s="40">
        <v>127.1</v>
      </c>
      <c r="AP11" s="39">
        <v>122.8</v>
      </c>
      <c r="AQ11" s="40">
        <v>110</v>
      </c>
    </row>
    <row r="12" spans="1:43" s="7" customFormat="1" ht="12.75">
      <c r="A12" s="38" t="s">
        <v>273</v>
      </c>
      <c r="B12" s="342"/>
      <c r="C12" s="342"/>
      <c r="D12" s="342"/>
      <c r="E12" s="342"/>
      <c r="F12" s="39">
        <v>53.02002258</v>
      </c>
      <c r="G12" s="40">
        <v>57.328109420000004</v>
      </c>
      <c r="H12" s="40">
        <v>59.35186799999998</v>
      </c>
      <c r="I12" s="41">
        <v>61.20600000000002</v>
      </c>
      <c r="J12" s="39">
        <f>96-0.1</f>
        <v>95.9</v>
      </c>
      <c r="K12" s="40">
        <v>73.8</v>
      </c>
      <c r="L12" s="40">
        <v>97.2</v>
      </c>
      <c r="M12" s="41">
        <v>65.9</v>
      </c>
      <c r="N12" s="39">
        <v>59.8</v>
      </c>
      <c r="O12" s="40">
        <v>-9</v>
      </c>
      <c r="P12" s="40">
        <v>11.2</v>
      </c>
      <c r="Q12" s="41">
        <v>12.6</v>
      </c>
      <c r="R12" s="39">
        <v>3.8000000000000007</v>
      </c>
      <c r="S12" s="40">
        <v>6.699999999999999</v>
      </c>
      <c r="T12" s="40">
        <v>3.4000000000000004</v>
      </c>
      <c r="U12" s="41">
        <v>4.499999999999998</v>
      </c>
      <c r="V12" s="39">
        <v>4.6</v>
      </c>
      <c r="W12" s="40">
        <v>3.1</v>
      </c>
      <c r="X12" s="40">
        <f>3.8-0.2</f>
        <v>3.5999999999999996</v>
      </c>
      <c r="Y12" s="41">
        <v>2.7</v>
      </c>
      <c r="Z12" s="39">
        <v>5.4</v>
      </c>
      <c r="AA12" s="40">
        <v>7.1</v>
      </c>
      <c r="AB12" s="40">
        <v>7.9</v>
      </c>
      <c r="AC12" s="41">
        <v>6.4</v>
      </c>
      <c r="AD12" s="39">
        <v>9</v>
      </c>
      <c r="AE12" s="40">
        <v>7.8</v>
      </c>
      <c r="AF12" s="40">
        <v>3.2</v>
      </c>
      <c r="AG12" s="41">
        <v>3.2</v>
      </c>
      <c r="AH12" s="39">
        <v>6.7</v>
      </c>
      <c r="AI12" s="40">
        <v>7.6</v>
      </c>
      <c r="AJ12" s="40">
        <v>6.1</v>
      </c>
      <c r="AK12" s="40">
        <v>4.9</v>
      </c>
      <c r="AL12" s="39">
        <v>4.2</v>
      </c>
      <c r="AM12" s="40">
        <v>4.2</v>
      </c>
      <c r="AN12" s="40">
        <v>4</v>
      </c>
      <c r="AO12" s="40">
        <v>5.1</v>
      </c>
      <c r="AP12" s="39">
        <v>7.2</v>
      </c>
      <c r="AQ12" s="40">
        <v>7.6</v>
      </c>
    </row>
    <row r="13" spans="1:43" s="7" customFormat="1" ht="12.75">
      <c r="A13" s="38" t="s">
        <v>274</v>
      </c>
      <c r="B13" s="342"/>
      <c r="C13" s="342"/>
      <c r="D13" s="342"/>
      <c r="E13" s="342"/>
      <c r="F13" s="39">
        <v>21.7831152</v>
      </c>
      <c r="G13" s="40">
        <v>86.90059949</v>
      </c>
      <c r="H13" s="40">
        <v>103.23416106</v>
      </c>
      <c r="I13" s="41">
        <v>108.94612424999997</v>
      </c>
      <c r="J13" s="39">
        <v>108</v>
      </c>
      <c r="K13" s="40">
        <v>108.3</v>
      </c>
      <c r="L13" s="40">
        <v>109.3</v>
      </c>
      <c r="M13" s="41">
        <v>109.3</v>
      </c>
      <c r="N13" s="39">
        <v>106.9</v>
      </c>
      <c r="O13" s="40">
        <v>99.2</v>
      </c>
      <c r="P13" s="40">
        <v>95.7</v>
      </c>
      <c r="Q13" s="41">
        <v>94.1</v>
      </c>
      <c r="R13" s="39">
        <v>89.3</v>
      </c>
      <c r="S13" s="40">
        <v>78.89999999999999</v>
      </c>
      <c r="T13" s="40">
        <v>71.70000000000002</v>
      </c>
      <c r="U13" s="41">
        <v>72.99999999999997</v>
      </c>
      <c r="V13" s="39">
        <v>72.6</v>
      </c>
      <c r="W13" s="40">
        <v>56.8</v>
      </c>
      <c r="X13" s="40">
        <v>35.099999999999994</v>
      </c>
      <c r="Y13" s="41">
        <v>0</v>
      </c>
      <c r="Z13" s="39">
        <v>0</v>
      </c>
      <c r="AA13" s="40">
        <v>0</v>
      </c>
      <c r="AB13" s="40">
        <v>0</v>
      </c>
      <c r="AC13" s="41">
        <v>0</v>
      </c>
      <c r="AD13" s="39">
        <v>0</v>
      </c>
      <c r="AE13" s="40">
        <v>0</v>
      </c>
      <c r="AF13" s="40">
        <v>0</v>
      </c>
      <c r="AG13" s="41">
        <v>0</v>
      </c>
      <c r="AH13" s="39">
        <v>11</v>
      </c>
      <c r="AI13" s="40">
        <v>20.4</v>
      </c>
      <c r="AJ13" s="40">
        <v>21.4</v>
      </c>
      <c r="AK13" s="40">
        <v>25.5</v>
      </c>
      <c r="AL13" s="39">
        <v>27.6</v>
      </c>
      <c r="AM13" s="40">
        <v>29.8</v>
      </c>
      <c r="AN13" s="40">
        <v>37.6</v>
      </c>
      <c r="AO13" s="40">
        <v>38.3</v>
      </c>
      <c r="AP13" s="39">
        <v>44.3</v>
      </c>
      <c r="AQ13" s="40">
        <v>52.1</v>
      </c>
    </row>
    <row r="14" spans="1:43" s="7" customFormat="1" ht="22.5">
      <c r="A14" s="38" t="s">
        <v>275</v>
      </c>
      <c r="B14" s="343"/>
      <c r="C14" s="343"/>
      <c r="D14" s="343"/>
      <c r="E14" s="343"/>
      <c r="F14" s="39">
        <v>36.08988979</v>
      </c>
      <c r="G14" s="40">
        <v>33.97392146999999</v>
      </c>
      <c r="H14" s="40">
        <v>-13.28136272999999</v>
      </c>
      <c r="I14" s="41">
        <v>21.481551469999992</v>
      </c>
      <c r="J14" s="39">
        <v>6.6</v>
      </c>
      <c r="K14" s="40">
        <v>3.2</v>
      </c>
      <c r="L14" s="40">
        <v>3.2</v>
      </c>
      <c r="M14" s="41">
        <v>3.2</v>
      </c>
      <c r="N14" s="39">
        <v>3.1</v>
      </c>
      <c r="O14" s="40">
        <v>3.1</v>
      </c>
      <c r="P14" s="40">
        <v>3.2</v>
      </c>
      <c r="Q14" s="41">
        <v>2.2</v>
      </c>
      <c r="R14" s="39">
        <v>0.8</v>
      </c>
      <c r="S14" s="40">
        <v>0.8999999999999999</v>
      </c>
      <c r="T14" s="40">
        <v>0</v>
      </c>
      <c r="U14" s="41">
        <v>0</v>
      </c>
      <c r="V14" s="39">
        <v>3.6</v>
      </c>
      <c r="W14" s="40">
        <v>2.7</v>
      </c>
      <c r="X14" s="40">
        <v>0</v>
      </c>
      <c r="Y14" s="41">
        <v>0</v>
      </c>
      <c r="Z14" s="39">
        <v>0</v>
      </c>
      <c r="AA14" s="40">
        <v>0</v>
      </c>
      <c r="AB14" s="40">
        <v>0</v>
      </c>
      <c r="AC14" s="41">
        <v>0</v>
      </c>
      <c r="AD14" s="39">
        <v>0</v>
      </c>
      <c r="AE14" s="40">
        <v>0</v>
      </c>
      <c r="AF14" s="40">
        <v>0</v>
      </c>
      <c r="AG14" s="41">
        <v>0</v>
      </c>
      <c r="AH14" s="39">
        <v>0</v>
      </c>
      <c r="AI14" s="40">
        <v>0</v>
      </c>
      <c r="AJ14" s="40">
        <v>0</v>
      </c>
      <c r="AK14" s="40">
        <v>0</v>
      </c>
      <c r="AL14" s="39">
        <v>0</v>
      </c>
      <c r="AM14" s="40">
        <v>0</v>
      </c>
      <c r="AN14" s="40">
        <v>0</v>
      </c>
      <c r="AO14" s="40">
        <v>0</v>
      </c>
      <c r="AP14" s="39">
        <v>0</v>
      </c>
      <c r="AQ14" s="40">
        <v>0</v>
      </c>
    </row>
    <row r="15" spans="1:43" s="9" customFormat="1" ht="12.75">
      <c r="A15" s="89" t="s">
        <v>73</v>
      </c>
      <c r="B15" s="39">
        <v>-25</v>
      </c>
      <c r="C15" s="40">
        <v>-11.1</v>
      </c>
      <c r="D15" s="40">
        <v>-6.7</v>
      </c>
      <c r="E15" s="40">
        <v>-3.7</v>
      </c>
      <c r="F15" s="39">
        <v>20.8</v>
      </c>
      <c r="G15" s="40">
        <v>26.6</v>
      </c>
      <c r="H15" s="40">
        <v>20.3</v>
      </c>
      <c r="I15" s="41">
        <v>26.2</v>
      </c>
      <c r="J15" s="39">
        <v>19.7</v>
      </c>
      <c r="K15" s="40">
        <v>-1.5</v>
      </c>
      <c r="L15" s="40">
        <v>14.6</v>
      </c>
      <c r="M15" s="41">
        <v>14.8</v>
      </c>
      <c r="N15" s="39">
        <v>23</v>
      </c>
      <c r="O15" s="40">
        <v>11.9</v>
      </c>
      <c r="P15" s="40">
        <v>18.8</v>
      </c>
      <c r="Q15" s="41">
        <v>-5.4</v>
      </c>
      <c r="R15" s="39">
        <v>-16.6</v>
      </c>
      <c r="S15" s="40">
        <v>-13.4</v>
      </c>
      <c r="T15" s="40">
        <v>-1.9</v>
      </c>
      <c r="U15" s="41">
        <v>15.2</v>
      </c>
      <c r="V15" s="39">
        <v>11.3</v>
      </c>
      <c r="W15" s="40">
        <v>2.2</v>
      </c>
      <c r="X15" s="40">
        <v>18.7</v>
      </c>
      <c r="Y15" s="41">
        <v>17.6</v>
      </c>
      <c r="Z15" s="39">
        <v>15.6</v>
      </c>
      <c r="AA15" s="40">
        <v>2.4</v>
      </c>
      <c r="AB15" s="40">
        <v>12.8</v>
      </c>
      <c r="AC15" s="41">
        <v>10.3</v>
      </c>
      <c r="AD15" s="39">
        <v>9.6</v>
      </c>
      <c r="AE15" s="40">
        <v>9</v>
      </c>
      <c r="AF15" s="40">
        <v>11.2</v>
      </c>
      <c r="AG15" s="41">
        <v>7.9</v>
      </c>
      <c r="AH15" s="39">
        <v>8</v>
      </c>
      <c r="AI15" s="40">
        <v>3</v>
      </c>
      <c r="AJ15" s="40">
        <v>7.3</v>
      </c>
      <c r="AK15" s="40">
        <v>14</v>
      </c>
      <c r="AL15" s="39">
        <v>20.1</v>
      </c>
      <c r="AM15" s="40">
        <v>24.2</v>
      </c>
      <c r="AN15" s="40">
        <v>19</v>
      </c>
      <c r="AO15" s="40">
        <v>12.3</v>
      </c>
      <c r="AP15" s="39">
        <v>12.2</v>
      </c>
      <c r="AQ15" s="40">
        <v>10.1</v>
      </c>
    </row>
    <row r="16" spans="1:43" s="9" customFormat="1" ht="12.75">
      <c r="A16" s="87" t="s">
        <v>74</v>
      </c>
      <c r="B16" s="39">
        <f>-0.1+0.1</f>
        <v>0</v>
      </c>
      <c r="C16" s="40">
        <f>0.2-0.2</f>
        <v>0</v>
      </c>
      <c r="D16" s="40">
        <f>-0.6+0.6</f>
        <v>0</v>
      </c>
      <c r="E16" s="40">
        <v>0</v>
      </c>
      <c r="F16" s="39">
        <f>0.5-0.5</f>
        <v>0</v>
      </c>
      <c r="G16" s="40">
        <f>0.4-0.4</f>
        <v>0</v>
      </c>
      <c r="H16" s="40">
        <f>0.3-0.3</f>
        <v>0</v>
      </c>
      <c r="I16" s="41">
        <f>0.4-0.4</f>
        <v>0</v>
      </c>
      <c r="J16" s="39">
        <f>0.1-0.1</f>
        <v>0</v>
      </c>
      <c r="K16" s="40">
        <f>0.1-0.1</f>
        <v>0</v>
      </c>
      <c r="L16" s="40">
        <f>0.1-0.1</f>
        <v>0</v>
      </c>
      <c r="M16" s="41">
        <v>0</v>
      </c>
      <c r="N16" s="39">
        <f>0.1-0.1</f>
        <v>0</v>
      </c>
      <c r="O16" s="40">
        <f>0.1-0.1</f>
        <v>0</v>
      </c>
      <c r="P16" s="40">
        <v>0</v>
      </c>
      <c r="Q16" s="41">
        <f>0.1-0.1</f>
        <v>0</v>
      </c>
      <c r="R16" s="39">
        <f>0.2-0.2</f>
        <v>0</v>
      </c>
      <c r="S16" s="40">
        <f>0.1-0.1</f>
        <v>0</v>
      </c>
      <c r="T16" s="40">
        <f>0.1-0.1</f>
        <v>0</v>
      </c>
      <c r="U16" s="41">
        <f>0.1-0.1</f>
        <v>0</v>
      </c>
      <c r="V16" s="39">
        <f>0.4-0.4</f>
        <v>0</v>
      </c>
      <c r="W16" s="40">
        <f>1.1-1.1</f>
        <v>0</v>
      </c>
      <c r="X16" s="40">
        <v>0</v>
      </c>
      <c r="Y16" s="41">
        <v>0</v>
      </c>
      <c r="Z16" s="39">
        <v>0</v>
      </c>
      <c r="AA16" s="40">
        <v>0</v>
      </c>
      <c r="AB16" s="40">
        <v>0</v>
      </c>
      <c r="AC16" s="41">
        <v>0</v>
      </c>
      <c r="AD16" s="39">
        <v>0</v>
      </c>
      <c r="AE16" s="40">
        <v>0</v>
      </c>
      <c r="AF16" s="40">
        <v>0</v>
      </c>
      <c r="AG16" s="41">
        <v>0</v>
      </c>
      <c r="AH16" s="39">
        <v>0</v>
      </c>
      <c r="AI16" s="40">
        <v>0</v>
      </c>
      <c r="AJ16" s="40">
        <v>0</v>
      </c>
      <c r="AK16" s="40">
        <v>0</v>
      </c>
      <c r="AL16" s="39">
        <v>0</v>
      </c>
      <c r="AM16" s="40">
        <v>0</v>
      </c>
      <c r="AN16" s="40">
        <v>0</v>
      </c>
      <c r="AO16" s="40">
        <v>0</v>
      </c>
      <c r="AP16" s="39">
        <v>0</v>
      </c>
      <c r="AQ16" s="40">
        <v>0</v>
      </c>
    </row>
    <row r="17" spans="1:43" s="9" customFormat="1" ht="12.75">
      <c r="A17" s="97" t="s">
        <v>75</v>
      </c>
      <c r="B17" s="47">
        <f>B6+B7+B10+B11+B15+B16</f>
        <v>556</v>
      </c>
      <c r="C17" s="47">
        <f>C6+C7+C10+C11+C15+C16</f>
        <v>585.9999999999999</v>
      </c>
      <c r="D17" s="47">
        <f>D6+D7+D10+D11+D15+D16</f>
        <v>618.3</v>
      </c>
      <c r="E17" s="47">
        <f>E6+E7+E10+E11+E15+E16</f>
        <v>673.3</v>
      </c>
      <c r="F17" s="46">
        <f aca="true" t="shared" si="0" ref="F17:AA17">F16+F15+F14+F13+F12+F11+F10+F7+F6</f>
        <v>750.50302757</v>
      </c>
      <c r="G17" s="47">
        <f t="shared" si="0"/>
        <v>855.29263038</v>
      </c>
      <c r="H17" s="47">
        <f t="shared" si="0"/>
        <v>910.1046663300001</v>
      </c>
      <c r="I17" s="47">
        <f t="shared" si="0"/>
        <v>982.7996757200001</v>
      </c>
      <c r="J17" s="46">
        <f t="shared" si="0"/>
        <v>860.8000000000001</v>
      </c>
      <c r="K17" s="47">
        <f t="shared" si="0"/>
        <v>773.3</v>
      </c>
      <c r="L17" s="47">
        <f t="shared" si="0"/>
        <v>732.1000000000001</v>
      </c>
      <c r="M17" s="47">
        <f t="shared" si="0"/>
        <v>711.5</v>
      </c>
      <c r="N17" s="46">
        <f t="shared" si="0"/>
        <v>726.8</v>
      </c>
      <c r="O17" s="47">
        <f t="shared" si="0"/>
        <v>723.1</v>
      </c>
      <c r="P17" s="47">
        <f t="shared" si="0"/>
        <v>747.3</v>
      </c>
      <c r="Q17" s="47">
        <f t="shared" si="0"/>
        <v>751.5</v>
      </c>
      <c r="R17" s="46">
        <f t="shared" si="0"/>
        <v>772.5999999999999</v>
      </c>
      <c r="S17" s="47">
        <f t="shared" si="0"/>
        <v>833.5999999999999</v>
      </c>
      <c r="T17" s="47">
        <f t="shared" si="0"/>
        <v>882.3000000000001</v>
      </c>
      <c r="U17" s="47">
        <f t="shared" si="0"/>
        <v>896.9999999999999</v>
      </c>
      <c r="V17" s="46">
        <f t="shared" si="0"/>
        <v>945.2</v>
      </c>
      <c r="W17" s="47">
        <f t="shared" si="0"/>
        <v>945.1999999999998</v>
      </c>
      <c r="X17" s="47">
        <f t="shared" si="0"/>
        <v>963.2</v>
      </c>
      <c r="Y17" s="47">
        <f t="shared" si="0"/>
        <v>977.9000000000001</v>
      </c>
      <c r="Z17" s="46">
        <f t="shared" si="0"/>
        <v>925.0999999999999</v>
      </c>
      <c r="AA17" s="47">
        <f t="shared" si="0"/>
        <v>902.8</v>
      </c>
      <c r="AB17" s="47">
        <f aca="true" t="shared" si="1" ref="AB17:AH17">AB16+AB15+AB14+AB13+AB12+AB11+AB10+AB7+AB6</f>
        <v>895.3999999999999</v>
      </c>
      <c r="AC17" s="47">
        <f t="shared" si="1"/>
        <v>891.4000000000001</v>
      </c>
      <c r="AD17" s="46">
        <f t="shared" si="1"/>
        <v>903.8</v>
      </c>
      <c r="AE17" s="47">
        <f t="shared" si="1"/>
        <v>932.5999999999999</v>
      </c>
      <c r="AF17" s="47">
        <f t="shared" si="1"/>
        <v>962.1999999999999</v>
      </c>
      <c r="AG17" s="47">
        <f t="shared" si="1"/>
        <v>925.8999999999999</v>
      </c>
      <c r="AH17" s="46">
        <f t="shared" si="1"/>
        <v>887</v>
      </c>
      <c r="AI17" s="47">
        <f aca="true" t="shared" si="2" ref="AI17:AQ17">AI16+AI15+AI14+AI13+AI12+AI11+AI10+AI7+AI6</f>
        <v>878</v>
      </c>
      <c r="AJ17" s="47">
        <f t="shared" si="2"/>
        <v>928.4999999999999</v>
      </c>
      <c r="AK17" s="47">
        <f t="shared" si="2"/>
        <v>935.1</v>
      </c>
      <c r="AL17" s="46">
        <f t="shared" si="2"/>
        <v>935</v>
      </c>
      <c r="AM17" s="47">
        <f t="shared" si="2"/>
        <v>961.1999999999999</v>
      </c>
      <c r="AN17" s="47">
        <f t="shared" si="2"/>
        <v>1010.5000000000001</v>
      </c>
      <c r="AO17" s="47">
        <f t="shared" si="2"/>
        <v>1016.1999999999999</v>
      </c>
      <c r="AP17" s="46">
        <f t="shared" si="2"/>
        <v>1025.3</v>
      </c>
      <c r="AQ17" s="47">
        <f t="shared" si="2"/>
        <v>1060</v>
      </c>
    </row>
    <row r="18" spans="1:43" s="9" customFormat="1" ht="12.75">
      <c r="A18" s="37"/>
      <c r="B18" s="39"/>
      <c r="C18" s="40"/>
      <c r="D18" s="40"/>
      <c r="E18" s="40"/>
      <c r="F18" s="39"/>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39"/>
      <c r="AI18" s="40"/>
      <c r="AJ18" s="40"/>
      <c r="AK18" s="40"/>
      <c r="AL18" s="39"/>
      <c r="AM18" s="40"/>
      <c r="AN18" s="40"/>
      <c r="AO18" s="40"/>
      <c r="AP18" s="39"/>
      <c r="AQ18" s="40"/>
    </row>
    <row r="19" spans="1:43" s="9" customFormat="1" ht="12.75">
      <c r="A19" s="88" t="s">
        <v>76</v>
      </c>
      <c r="B19" s="39"/>
      <c r="C19" s="40"/>
      <c r="D19" s="40"/>
      <c r="E19" s="40"/>
      <c r="F19" s="39"/>
      <c r="G19" s="40"/>
      <c r="H19" s="40"/>
      <c r="I19" s="41"/>
      <c r="J19" s="39"/>
      <c r="K19" s="40"/>
      <c r="L19" s="40"/>
      <c r="M19" s="41"/>
      <c r="N19" s="39"/>
      <c r="O19" s="40"/>
      <c r="P19" s="40"/>
      <c r="Q19" s="41"/>
      <c r="R19" s="39"/>
      <c r="S19" s="40"/>
      <c r="T19" s="40"/>
      <c r="U19" s="41"/>
      <c r="V19" s="39"/>
      <c r="W19" s="40"/>
      <c r="X19" s="40"/>
      <c r="Y19" s="41"/>
      <c r="Z19" s="39"/>
      <c r="AA19" s="40"/>
      <c r="AB19" s="40"/>
      <c r="AC19" s="41"/>
      <c r="AD19" s="39"/>
      <c r="AE19" s="40"/>
      <c r="AF19" s="40"/>
      <c r="AG19" s="41"/>
      <c r="AH19" s="39"/>
      <c r="AI19" s="40"/>
      <c r="AJ19" s="40"/>
      <c r="AK19" s="40"/>
      <c r="AL19" s="39"/>
      <c r="AM19" s="40"/>
      <c r="AN19" s="40"/>
      <c r="AO19" s="40"/>
      <c r="AP19" s="39"/>
      <c r="AQ19" s="40"/>
    </row>
    <row r="20" spans="1:43" s="9" customFormat="1" ht="12.75">
      <c r="A20" s="87" t="s">
        <v>77</v>
      </c>
      <c r="B20" s="39">
        <v>26.7</v>
      </c>
      <c r="C20" s="40">
        <v>25.7</v>
      </c>
      <c r="D20" s="40">
        <v>30.7</v>
      </c>
      <c r="E20" s="40">
        <v>35.4</v>
      </c>
      <c r="F20" s="39">
        <f>38.9-0.4</f>
        <v>38.5</v>
      </c>
      <c r="G20" s="40">
        <f>55-1.2</f>
        <v>53.8</v>
      </c>
      <c r="H20" s="40">
        <f>61.9-0.5</f>
        <v>61.4</v>
      </c>
      <c r="I20" s="41">
        <f>90.5-0.5</f>
        <v>90</v>
      </c>
      <c r="J20" s="39">
        <f>97.7-0.8</f>
        <v>96.9</v>
      </c>
      <c r="K20" s="40">
        <f>52.3-0.9</f>
        <v>51.4</v>
      </c>
      <c r="L20" s="40">
        <f>18.4-0.5</f>
        <v>17.9</v>
      </c>
      <c r="M20" s="41">
        <f>16.6-0.2</f>
        <v>16.400000000000002</v>
      </c>
      <c r="N20" s="39">
        <v>18.6</v>
      </c>
      <c r="O20" s="40">
        <v>18.6</v>
      </c>
      <c r="P20" s="40">
        <v>19.3</v>
      </c>
      <c r="Q20" s="41">
        <v>34.7</v>
      </c>
      <c r="R20" s="39">
        <v>42</v>
      </c>
      <c r="S20" s="40">
        <v>48.9</v>
      </c>
      <c r="T20" s="40">
        <v>44.3</v>
      </c>
      <c r="U20" s="41">
        <v>27.7</v>
      </c>
      <c r="V20" s="39">
        <f>39.8-0.2</f>
        <v>39.599999999999994</v>
      </c>
      <c r="W20" s="40">
        <f>31.4-0.1</f>
        <v>31.299999999999997</v>
      </c>
      <c r="X20" s="40">
        <f>24.2-0.3</f>
        <v>23.9</v>
      </c>
      <c r="Y20" s="41">
        <f>32.3-0.3</f>
        <v>31.999999999999996</v>
      </c>
      <c r="Z20" s="39">
        <f>26.3-0.4</f>
        <v>25.900000000000002</v>
      </c>
      <c r="AA20" s="40">
        <f>24.5-1.9</f>
        <v>22.6</v>
      </c>
      <c r="AB20" s="40">
        <f>17.3-1.3</f>
        <v>16</v>
      </c>
      <c r="AC20" s="41">
        <f>16.9-1</f>
        <v>15.899999999999999</v>
      </c>
      <c r="AD20" s="39">
        <v>24.2</v>
      </c>
      <c r="AE20" s="40">
        <v>28.799999999999997</v>
      </c>
      <c r="AF20" s="40">
        <v>19.4</v>
      </c>
      <c r="AG20" s="41">
        <v>17.9</v>
      </c>
      <c r="AH20" s="39">
        <v>14.9</v>
      </c>
      <c r="AI20" s="40">
        <v>16.5</v>
      </c>
      <c r="AJ20" s="40">
        <v>19.5</v>
      </c>
      <c r="AK20" s="40">
        <v>14.3</v>
      </c>
      <c r="AL20" s="39">
        <v>8.6</v>
      </c>
      <c r="AM20" s="40">
        <v>7.8</v>
      </c>
      <c r="AN20" s="40">
        <v>15.2</v>
      </c>
      <c r="AO20" s="40">
        <v>13</v>
      </c>
      <c r="AP20" s="39">
        <v>16.9</v>
      </c>
      <c r="AQ20" s="40">
        <v>16.3</v>
      </c>
    </row>
    <row r="21" spans="1:43" s="9" customFormat="1" ht="12.75">
      <c r="A21" s="89" t="s">
        <v>78</v>
      </c>
      <c r="B21" s="39">
        <v>293.2</v>
      </c>
      <c r="C21" s="40">
        <v>313.40000000000003</v>
      </c>
      <c r="D21" s="40">
        <v>333</v>
      </c>
      <c r="E21" s="40">
        <v>374.7</v>
      </c>
      <c r="F21" s="39">
        <f>428.2+0.4</f>
        <v>428.59999999999997</v>
      </c>
      <c r="G21" s="40">
        <f>484.5+1.2</f>
        <v>485.7</v>
      </c>
      <c r="H21" s="40">
        <f>527.3+0.5</f>
        <v>527.8</v>
      </c>
      <c r="I21" s="41">
        <f>559.8+0.5</f>
        <v>560.3</v>
      </c>
      <c r="J21" s="39">
        <f>452+0.8</f>
        <v>452.8</v>
      </c>
      <c r="K21" s="40">
        <f>362+0.9</f>
        <v>362.9</v>
      </c>
      <c r="L21" s="40">
        <f>335.7+0.5</f>
        <v>336.2</v>
      </c>
      <c r="M21" s="41">
        <f>340.5+0.2</f>
        <v>340.7</v>
      </c>
      <c r="N21" s="39">
        <v>317.8</v>
      </c>
      <c r="O21" s="40">
        <v>299.2</v>
      </c>
      <c r="P21" s="40">
        <v>317.8</v>
      </c>
      <c r="Q21" s="41">
        <v>295.1</v>
      </c>
      <c r="R21" s="39">
        <v>295.7</v>
      </c>
      <c r="S21" s="40">
        <v>325.2</v>
      </c>
      <c r="T21" s="40">
        <v>360.6</v>
      </c>
      <c r="U21" s="41">
        <v>389.6</v>
      </c>
      <c r="V21" s="39">
        <f>391.9+0.2</f>
        <v>392.09999999999997</v>
      </c>
      <c r="W21" s="40">
        <f>399.7+0.1</f>
        <v>399.8</v>
      </c>
      <c r="X21" s="40">
        <f>423.5+0.3</f>
        <v>423.8</v>
      </c>
      <c r="Y21" s="41">
        <f>437.8+0.3</f>
        <v>438.1</v>
      </c>
      <c r="Z21" s="39">
        <f>415.6+0.4</f>
        <v>416</v>
      </c>
      <c r="AA21" s="40">
        <f>375.7-7+1.9</f>
        <v>370.59999999999997</v>
      </c>
      <c r="AB21" s="40">
        <f>343.8+1.3</f>
        <v>345.1</v>
      </c>
      <c r="AC21" s="41">
        <f>321.5+1</f>
        <v>322.5</v>
      </c>
      <c r="AD21" s="39">
        <v>305.4</v>
      </c>
      <c r="AE21" s="40">
        <v>315.40000000000003</v>
      </c>
      <c r="AF21" s="40">
        <v>338.3</v>
      </c>
      <c r="AG21" s="41">
        <v>319.1</v>
      </c>
      <c r="AH21" s="39">
        <v>296.5</v>
      </c>
      <c r="AI21" s="40">
        <v>260.5</v>
      </c>
      <c r="AJ21" s="40">
        <v>258.4</v>
      </c>
      <c r="AK21" s="40">
        <v>255.5</v>
      </c>
      <c r="AL21" s="39">
        <v>251</v>
      </c>
      <c r="AM21" s="40">
        <v>253.3</v>
      </c>
      <c r="AN21" s="40">
        <v>201.1</v>
      </c>
      <c r="AO21" s="40">
        <v>184.4</v>
      </c>
      <c r="AP21" s="39">
        <v>183.7</v>
      </c>
      <c r="AQ21" s="40">
        <v>185</v>
      </c>
    </row>
    <row r="22" spans="1:43" s="9" customFormat="1" ht="12.75">
      <c r="A22" s="89" t="s">
        <v>310</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0</v>
      </c>
      <c r="T22" s="40">
        <v>0</v>
      </c>
      <c r="U22" s="41">
        <v>0</v>
      </c>
      <c r="V22" s="39">
        <v>0</v>
      </c>
      <c r="W22" s="40">
        <v>0</v>
      </c>
      <c r="X22" s="40">
        <v>0</v>
      </c>
      <c r="Y22" s="41">
        <v>0</v>
      </c>
      <c r="Z22" s="39">
        <v>0</v>
      </c>
      <c r="AA22" s="40">
        <v>7</v>
      </c>
      <c r="AB22" s="40">
        <v>1.8</v>
      </c>
      <c r="AC22" s="41">
        <v>1.2</v>
      </c>
      <c r="AD22" s="39">
        <v>0.4</v>
      </c>
      <c r="AE22" s="40">
        <v>0.7</v>
      </c>
      <c r="AF22" s="40">
        <v>2</v>
      </c>
      <c r="AG22" s="41">
        <v>0.1</v>
      </c>
      <c r="AH22" s="39">
        <v>0.1</v>
      </c>
      <c r="AI22" s="40">
        <v>0.1</v>
      </c>
      <c r="AJ22" s="40">
        <v>0.1</v>
      </c>
      <c r="AK22" s="40">
        <v>0.1</v>
      </c>
      <c r="AL22" s="39">
        <v>0.1</v>
      </c>
      <c r="AM22" s="40">
        <v>0</v>
      </c>
      <c r="AN22" s="40">
        <v>0.1</v>
      </c>
      <c r="AO22" s="40">
        <v>0</v>
      </c>
      <c r="AP22" s="39">
        <v>0.1</v>
      </c>
      <c r="AQ22" s="40">
        <v>0</v>
      </c>
    </row>
    <row r="23" spans="1:43" s="9" customFormat="1" ht="12.75">
      <c r="A23" s="89" t="s">
        <v>264</v>
      </c>
      <c r="B23" s="39">
        <v>0</v>
      </c>
      <c r="C23" s="40">
        <v>0</v>
      </c>
      <c r="D23" s="40">
        <v>0</v>
      </c>
      <c r="E23" s="40">
        <v>0</v>
      </c>
      <c r="F23" s="39">
        <v>0</v>
      </c>
      <c r="G23" s="40">
        <v>0</v>
      </c>
      <c r="H23" s="40">
        <v>0</v>
      </c>
      <c r="I23" s="41">
        <v>0</v>
      </c>
      <c r="J23" s="39">
        <v>0</v>
      </c>
      <c r="K23" s="40">
        <v>0</v>
      </c>
      <c r="L23" s="40">
        <v>0</v>
      </c>
      <c r="M23" s="41">
        <v>0</v>
      </c>
      <c r="N23" s="39">
        <v>0</v>
      </c>
      <c r="O23" s="40">
        <v>0</v>
      </c>
      <c r="P23" s="40">
        <v>0</v>
      </c>
      <c r="Q23" s="41">
        <v>0</v>
      </c>
      <c r="R23" s="39">
        <v>0</v>
      </c>
      <c r="S23" s="40">
        <v>0</v>
      </c>
      <c r="T23" s="40">
        <v>0</v>
      </c>
      <c r="U23" s="41">
        <v>0</v>
      </c>
      <c r="V23" s="39">
        <v>0</v>
      </c>
      <c r="W23" s="40">
        <v>0</v>
      </c>
      <c r="X23" s="40">
        <v>0</v>
      </c>
      <c r="Y23" s="41">
        <v>2</v>
      </c>
      <c r="Z23" s="39">
        <v>7.4</v>
      </c>
      <c r="AA23" s="40">
        <v>6.8</v>
      </c>
      <c r="AB23" s="40">
        <v>5.1</v>
      </c>
      <c r="AC23" s="41">
        <v>5.1</v>
      </c>
      <c r="AD23" s="39">
        <v>5</v>
      </c>
      <c r="AE23" s="40">
        <v>5.1</v>
      </c>
      <c r="AF23" s="40">
        <v>5.1</v>
      </c>
      <c r="AG23" s="41">
        <v>5.3</v>
      </c>
      <c r="AH23" s="39">
        <v>6.1</v>
      </c>
      <c r="AI23" s="40">
        <v>6.2</v>
      </c>
      <c r="AJ23" s="40">
        <v>5.7</v>
      </c>
      <c r="AK23" s="40">
        <v>5.7</v>
      </c>
      <c r="AL23" s="39">
        <v>5.7</v>
      </c>
      <c r="AM23" s="40">
        <v>5.6</v>
      </c>
      <c r="AN23" s="40">
        <v>5.6</v>
      </c>
      <c r="AO23" s="40">
        <v>5.8</v>
      </c>
      <c r="AP23" s="39">
        <v>5.7</v>
      </c>
      <c r="AQ23" s="40">
        <v>5.7</v>
      </c>
    </row>
    <row r="24" spans="1:43" s="9" customFormat="1" ht="12.75">
      <c r="A24" s="266" t="s">
        <v>311</v>
      </c>
      <c r="B24" s="39">
        <v>0</v>
      </c>
      <c r="C24" s="40">
        <v>0</v>
      </c>
      <c r="D24" s="40">
        <v>0</v>
      </c>
      <c r="E24" s="40">
        <v>0</v>
      </c>
      <c r="F24" s="39">
        <v>0</v>
      </c>
      <c r="G24" s="40">
        <v>0</v>
      </c>
      <c r="H24" s="40">
        <v>0</v>
      </c>
      <c r="I24" s="41">
        <v>0</v>
      </c>
      <c r="J24" s="39">
        <v>0</v>
      </c>
      <c r="K24" s="40">
        <v>0</v>
      </c>
      <c r="L24" s="40">
        <v>0</v>
      </c>
      <c r="M24" s="41">
        <v>0</v>
      </c>
      <c r="N24" s="39">
        <v>0</v>
      </c>
      <c r="O24" s="40">
        <v>0</v>
      </c>
      <c r="P24" s="40">
        <v>0</v>
      </c>
      <c r="Q24" s="41">
        <v>0</v>
      </c>
      <c r="R24" s="39">
        <v>0</v>
      </c>
      <c r="S24" s="40">
        <v>0</v>
      </c>
      <c r="T24" s="40">
        <v>0</v>
      </c>
      <c r="U24" s="41">
        <v>0</v>
      </c>
      <c r="V24" s="39">
        <v>0</v>
      </c>
      <c r="W24" s="40">
        <v>0</v>
      </c>
      <c r="X24" s="40">
        <v>0</v>
      </c>
      <c r="Y24" s="41">
        <v>0</v>
      </c>
      <c r="Z24" s="39">
        <v>0</v>
      </c>
      <c r="AA24" s="40">
        <v>0.5</v>
      </c>
      <c r="AB24" s="40">
        <v>1.3</v>
      </c>
      <c r="AC24" s="41">
        <v>1.3</v>
      </c>
      <c r="AD24" s="39">
        <v>0.9</v>
      </c>
      <c r="AE24" s="40">
        <v>0.4</v>
      </c>
      <c r="AF24" s="40">
        <v>0.5</v>
      </c>
      <c r="AG24" s="41">
        <v>0.3</v>
      </c>
      <c r="AH24" s="39">
        <v>0.4</v>
      </c>
      <c r="AI24" s="40">
        <v>0.6</v>
      </c>
      <c r="AJ24" s="40">
        <v>0.2</v>
      </c>
      <c r="AK24" s="40">
        <v>0.1</v>
      </c>
      <c r="AL24" s="39">
        <v>0.2</v>
      </c>
      <c r="AM24" s="40">
        <v>0.2</v>
      </c>
      <c r="AN24" s="40">
        <v>0.3</v>
      </c>
      <c r="AO24" s="40">
        <v>0.3</v>
      </c>
      <c r="AP24" s="39">
        <v>0.3</v>
      </c>
      <c r="AQ24" s="40">
        <v>0.6</v>
      </c>
    </row>
    <row r="25" spans="1:43" s="9" customFormat="1" ht="12.75">
      <c r="A25" s="266" t="s">
        <v>353</v>
      </c>
      <c r="B25" s="39">
        <v>0</v>
      </c>
      <c r="C25" s="40">
        <v>0</v>
      </c>
      <c r="D25" s="40">
        <v>0</v>
      </c>
      <c r="E25" s="40">
        <v>0</v>
      </c>
      <c r="F25" s="39">
        <v>0</v>
      </c>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0">
        <v>0</v>
      </c>
      <c r="AD25" s="39">
        <v>0</v>
      </c>
      <c r="AE25" s="40">
        <v>0</v>
      </c>
      <c r="AF25" s="40">
        <v>0</v>
      </c>
      <c r="AG25" s="40">
        <v>0</v>
      </c>
      <c r="AH25" s="39">
        <v>0</v>
      </c>
      <c r="AI25" s="40">
        <v>0</v>
      </c>
      <c r="AJ25" s="40">
        <v>0</v>
      </c>
      <c r="AK25" s="40">
        <v>0</v>
      </c>
      <c r="AL25" s="39">
        <v>1.3</v>
      </c>
      <c r="AM25" s="40">
        <v>3.4</v>
      </c>
      <c r="AN25" s="40">
        <v>3.3</v>
      </c>
      <c r="AO25" s="40">
        <v>3.2</v>
      </c>
      <c r="AP25" s="39">
        <v>3.1</v>
      </c>
      <c r="AQ25" s="40">
        <v>3.1</v>
      </c>
    </row>
    <row r="26" spans="1:43" s="9" customFormat="1" ht="12.75">
      <c r="A26" s="97" t="s">
        <v>79</v>
      </c>
      <c r="B26" s="47">
        <f aca="true" t="shared" si="3" ref="B26:X26">SUM(B20:B23)</f>
        <v>319.9</v>
      </c>
      <c r="C26" s="47">
        <f t="shared" si="3"/>
        <v>339.1</v>
      </c>
      <c r="D26" s="47">
        <f t="shared" si="3"/>
        <v>363.7</v>
      </c>
      <c r="E26" s="47">
        <f t="shared" si="3"/>
        <v>410.09999999999997</v>
      </c>
      <c r="F26" s="46">
        <f t="shared" si="3"/>
        <v>467.09999999999997</v>
      </c>
      <c r="G26" s="47">
        <f t="shared" si="3"/>
        <v>539.5</v>
      </c>
      <c r="H26" s="47">
        <f t="shared" si="3"/>
        <v>589.1999999999999</v>
      </c>
      <c r="I26" s="47">
        <f t="shared" si="3"/>
        <v>650.3</v>
      </c>
      <c r="J26" s="46">
        <f t="shared" si="3"/>
        <v>549.7</v>
      </c>
      <c r="K26" s="47">
        <f t="shared" si="3"/>
        <v>414.29999999999995</v>
      </c>
      <c r="L26" s="47">
        <f t="shared" si="3"/>
        <v>354.09999999999997</v>
      </c>
      <c r="M26" s="47">
        <f t="shared" si="3"/>
        <v>357.09999999999997</v>
      </c>
      <c r="N26" s="46">
        <f t="shared" si="3"/>
        <v>336.40000000000003</v>
      </c>
      <c r="O26" s="47">
        <f t="shared" si="3"/>
        <v>317.8</v>
      </c>
      <c r="P26" s="47">
        <f t="shared" si="3"/>
        <v>337.1</v>
      </c>
      <c r="Q26" s="47">
        <f t="shared" si="3"/>
        <v>329.8</v>
      </c>
      <c r="R26" s="46">
        <f t="shared" si="3"/>
        <v>337.7</v>
      </c>
      <c r="S26" s="47">
        <f t="shared" si="3"/>
        <v>374.09999999999997</v>
      </c>
      <c r="T26" s="47">
        <f t="shared" si="3"/>
        <v>404.90000000000003</v>
      </c>
      <c r="U26" s="47">
        <f t="shared" si="3"/>
        <v>417.3</v>
      </c>
      <c r="V26" s="46">
        <f t="shared" si="3"/>
        <v>431.69999999999993</v>
      </c>
      <c r="W26" s="47">
        <f t="shared" si="3"/>
        <v>431.1</v>
      </c>
      <c r="X26" s="47">
        <f t="shared" si="3"/>
        <v>447.7</v>
      </c>
      <c r="Y26" s="47">
        <f>SUM(Y20:Y23)</f>
        <v>472.1</v>
      </c>
      <c r="Z26" s="46">
        <f aca="true" t="shared" si="4" ref="Z26:AQ26">SUM(Z20:Z25)</f>
        <v>449.29999999999995</v>
      </c>
      <c r="AA26" s="47">
        <f t="shared" si="4"/>
        <v>407.5</v>
      </c>
      <c r="AB26" s="47">
        <f t="shared" si="4"/>
        <v>369.30000000000007</v>
      </c>
      <c r="AC26" s="47">
        <f t="shared" si="4"/>
        <v>346</v>
      </c>
      <c r="AD26" s="46">
        <f t="shared" si="4"/>
        <v>335.8999999999999</v>
      </c>
      <c r="AE26" s="47">
        <f t="shared" si="4"/>
        <v>350.40000000000003</v>
      </c>
      <c r="AF26" s="47">
        <f t="shared" si="4"/>
        <v>365.3</v>
      </c>
      <c r="AG26" s="47">
        <f t="shared" si="4"/>
        <v>342.70000000000005</v>
      </c>
      <c r="AH26" s="46">
        <f t="shared" si="4"/>
        <v>318</v>
      </c>
      <c r="AI26" s="47">
        <f t="shared" si="4"/>
        <v>283.90000000000003</v>
      </c>
      <c r="AJ26" s="47">
        <f t="shared" si="4"/>
        <v>283.9</v>
      </c>
      <c r="AK26" s="47">
        <f t="shared" si="4"/>
        <v>275.70000000000005</v>
      </c>
      <c r="AL26" s="46">
        <f t="shared" si="4"/>
        <v>266.90000000000003</v>
      </c>
      <c r="AM26" s="47">
        <f t="shared" si="4"/>
        <v>270.3</v>
      </c>
      <c r="AN26" s="47">
        <f t="shared" si="4"/>
        <v>225.6</v>
      </c>
      <c r="AO26" s="47">
        <f t="shared" si="4"/>
        <v>206.70000000000002</v>
      </c>
      <c r="AP26" s="46">
        <f t="shared" si="4"/>
        <v>209.79999999999998</v>
      </c>
      <c r="AQ26" s="47">
        <f t="shared" si="4"/>
        <v>210.7</v>
      </c>
    </row>
    <row r="27" spans="1:43" s="9" customFormat="1" ht="12.75">
      <c r="A27" s="37"/>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39"/>
      <c r="AI27" s="40"/>
      <c r="AJ27" s="40"/>
      <c r="AK27" s="40"/>
      <c r="AL27" s="39"/>
      <c r="AM27" s="40"/>
      <c r="AN27" s="40"/>
      <c r="AO27" s="40"/>
      <c r="AP27" s="39"/>
      <c r="AQ27" s="40"/>
    </row>
    <row r="28" spans="1:43" s="13" customFormat="1" ht="12.75">
      <c r="A28" s="98" t="s">
        <v>8</v>
      </c>
      <c r="B28" s="93">
        <f>B17-B26</f>
        <v>236.10000000000002</v>
      </c>
      <c r="C28" s="94">
        <f aca="true" t="shared" si="5" ref="C28:W28">C17-C26</f>
        <v>246.89999999999986</v>
      </c>
      <c r="D28" s="94">
        <f t="shared" si="5"/>
        <v>254.59999999999997</v>
      </c>
      <c r="E28" s="94">
        <f t="shared" si="5"/>
        <v>263.2</v>
      </c>
      <c r="F28" s="93">
        <f t="shared" si="5"/>
        <v>283.40302757</v>
      </c>
      <c r="G28" s="94">
        <f t="shared" si="5"/>
        <v>315.79263038</v>
      </c>
      <c r="H28" s="94">
        <f t="shared" si="5"/>
        <v>320.90466633000017</v>
      </c>
      <c r="I28" s="95">
        <f t="shared" si="5"/>
        <v>332.49967572000014</v>
      </c>
      <c r="J28" s="93">
        <f t="shared" si="5"/>
        <v>311.1</v>
      </c>
      <c r="K28" s="94">
        <f t="shared" si="5"/>
        <v>359</v>
      </c>
      <c r="L28" s="94">
        <f t="shared" si="5"/>
        <v>378.00000000000017</v>
      </c>
      <c r="M28" s="95">
        <f t="shared" si="5"/>
        <v>354.40000000000003</v>
      </c>
      <c r="N28" s="93">
        <f t="shared" si="5"/>
        <v>390.3999999999999</v>
      </c>
      <c r="O28" s="94">
        <f t="shared" si="5"/>
        <v>405.3</v>
      </c>
      <c r="P28" s="94">
        <f t="shared" si="5"/>
        <v>410.19999999999993</v>
      </c>
      <c r="Q28" s="95">
        <f t="shared" si="5"/>
        <v>421.7</v>
      </c>
      <c r="R28" s="93">
        <f t="shared" si="5"/>
        <v>434.8999999999999</v>
      </c>
      <c r="S28" s="94">
        <f t="shared" si="5"/>
        <v>459.49999999999994</v>
      </c>
      <c r="T28" s="94">
        <f t="shared" si="5"/>
        <v>477.40000000000003</v>
      </c>
      <c r="U28" s="95">
        <f t="shared" si="5"/>
        <v>479.6999999999999</v>
      </c>
      <c r="V28" s="93">
        <f t="shared" si="5"/>
        <v>513.5000000000001</v>
      </c>
      <c r="W28" s="94">
        <f t="shared" si="5"/>
        <v>514.0999999999998</v>
      </c>
      <c r="X28" s="94">
        <f aca="true" t="shared" si="6" ref="X28:AH28">X17-X26</f>
        <v>515.5</v>
      </c>
      <c r="Y28" s="95">
        <f t="shared" si="6"/>
        <v>505.80000000000007</v>
      </c>
      <c r="Z28" s="93">
        <f t="shared" si="6"/>
        <v>475.79999999999995</v>
      </c>
      <c r="AA28" s="94">
        <f t="shared" si="6"/>
        <v>495.29999999999995</v>
      </c>
      <c r="AB28" s="94">
        <f t="shared" si="6"/>
        <v>526.0999999999998</v>
      </c>
      <c r="AC28" s="95">
        <f t="shared" si="6"/>
        <v>545.4000000000001</v>
      </c>
      <c r="AD28" s="95">
        <f t="shared" si="6"/>
        <v>567.9000000000001</v>
      </c>
      <c r="AE28" s="94">
        <f t="shared" si="6"/>
        <v>582.1999999999998</v>
      </c>
      <c r="AF28" s="94">
        <f t="shared" si="6"/>
        <v>596.8999999999999</v>
      </c>
      <c r="AG28" s="95">
        <f t="shared" si="6"/>
        <v>583.1999999999998</v>
      </c>
      <c r="AH28" s="95">
        <f t="shared" si="6"/>
        <v>569</v>
      </c>
      <c r="AI28" s="94">
        <f aca="true" t="shared" si="7" ref="AI28:AQ28">AI17-AI26</f>
        <v>594.0999999999999</v>
      </c>
      <c r="AJ28" s="94">
        <f t="shared" si="7"/>
        <v>644.5999999999999</v>
      </c>
      <c r="AK28" s="94">
        <f t="shared" si="7"/>
        <v>659.4</v>
      </c>
      <c r="AL28" s="93">
        <f t="shared" si="7"/>
        <v>668.0999999999999</v>
      </c>
      <c r="AM28" s="94">
        <f t="shared" si="7"/>
        <v>690.8999999999999</v>
      </c>
      <c r="AN28" s="94">
        <f t="shared" si="7"/>
        <v>784.9000000000001</v>
      </c>
      <c r="AO28" s="94">
        <f t="shared" si="7"/>
        <v>809.4999999999999</v>
      </c>
      <c r="AP28" s="93">
        <f t="shared" si="7"/>
        <v>815.5</v>
      </c>
      <c r="AQ28" s="94">
        <f t="shared" si="7"/>
        <v>849.3</v>
      </c>
    </row>
    <row r="29" spans="1:35" ht="12.75">
      <c r="A29" s="3"/>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I29" s="96"/>
    </row>
    <row r="30" spans="1:35" ht="12.75">
      <c r="A30" s="3"/>
      <c r="Z30" s="96"/>
      <c r="AA30" s="96"/>
      <c r="AB30" s="96"/>
      <c r="AC30" s="96"/>
      <c r="AD30" s="96"/>
      <c r="AE30" s="96"/>
      <c r="AF30" s="96"/>
      <c r="AI30" s="96"/>
    </row>
    <row r="31" spans="1:42" ht="12.75">
      <c r="A31" s="3"/>
      <c r="Z31" s="96"/>
      <c r="AA31" s="96"/>
      <c r="AB31" s="96"/>
      <c r="AC31" s="96"/>
      <c r="AD31" s="96"/>
      <c r="AE31" s="96"/>
      <c r="AF31" s="96"/>
      <c r="AG31" s="96"/>
      <c r="AH31" s="96"/>
      <c r="AI31" s="96"/>
      <c r="AL31" s="96"/>
      <c r="AM31" s="96"/>
      <c r="AN31" s="96"/>
      <c r="AP31" s="96"/>
    </row>
    <row r="32" spans="1:42" ht="12.75">
      <c r="A32" s="3"/>
      <c r="Z32" s="96"/>
      <c r="AA32" s="96"/>
      <c r="AB32" s="96"/>
      <c r="AC32" s="96"/>
      <c r="AD32" s="96"/>
      <c r="AE32" s="96"/>
      <c r="AF32" s="96"/>
      <c r="AG32" s="96"/>
      <c r="AH32" s="96"/>
      <c r="AI32" s="96"/>
      <c r="AL32" s="96"/>
      <c r="AM32" s="96"/>
      <c r="AN32" s="96"/>
      <c r="AP32" s="96"/>
    </row>
    <row r="33" spans="1:35" ht="12.75">
      <c r="A33" s="3"/>
      <c r="Z33" s="96"/>
      <c r="AA33" s="96"/>
      <c r="AB33" s="96"/>
      <c r="AC33" s="96"/>
      <c r="AD33" s="96"/>
      <c r="AE33" s="96"/>
      <c r="AF33" s="96"/>
      <c r="AI33" s="96"/>
    </row>
    <row r="34" spans="1:35" ht="12.75">
      <c r="A34" s="3"/>
      <c r="Z34" s="96"/>
      <c r="AA34" s="96"/>
      <c r="AB34" s="96"/>
      <c r="AC34" s="96"/>
      <c r="AD34" s="96"/>
      <c r="AE34" s="96"/>
      <c r="AF34" s="96"/>
      <c r="AI34" s="96"/>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row r="56" ht="12.75">
      <c r="A56" s="3"/>
    </row>
    <row r="57" ht="12.75">
      <c r="A57" s="3"/>
    </row>
  </sheetData>
  <sheetProtection/>
  <mergeCells count="16">
    <mergeCell ref="B11:B14"/>
    <mergeCell ref="C11:C14"/>
    <mergeCell ref="D11:D14"/>
    <mergeCell ref="E11:E14"/>
    <mergeCell ref="V2:Y2"/>
    <mergeCell ref="R2:U2"/>
    <mergeCell ref="N2:Q2"/>
    <mergeCell ref="AP2:AQ2"/>
    <mergeCell ref="A2:A3"/>
    <mergeCell ref="B2:E2"/>
    <mergeCell ref="F2:I2"/>
    <mergeCell ref="J2:M2"/>
    <mergeCell ref="Z2:AC2"/>
    <mergeCell ref="AL2:AO2"/>
    <mergeCell ref="AH2:AK2"/>
    <mergeCell ref="AD2:AG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4" r:id="rId1"/>
  <headerFooter alignWithMargins="0">
    <oddHeader>&amp;C&amp;"Times New Roman,Kursywa"&amp;12
</oddHeader>
  </headerFooter>
  <ignoredErrors>
    <ignoredError sqref="B26:Y26" formulaRange="1"/>
    <ignoredError sqref="H16 R16" formula="1"/>
  </ignoredErrors>
</worksheet>
</file>

<file path=xl/worksheets/sheet6.xml><?xml version="1.0" encoding="utf-8"?>
<worksheet xmlns="http://schemas.openxmlformats.org/spreadsheetml/2006/main" xmlns:r="http://schemas.openxmlformats.org/officeDocument/2006/relationships">
  <dimension ref="A1:AS37"/>
  <sheetViews>
    <sheetView showGridLines="0" view="pageBreakPreview" zoomScaleSheetLayoutView="100" zoomScalePageLayoutView="80" workbookViewId="0" topLeftCell="A1">
      <pane xSplit="1" ySplit="3" topLeftCell="Q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cols>
    <col min="1" max="1" width="44.00390625" style="2" customWidth="1"/>
    <col min="2" max="21" width="4.875" style="3" customWidth="1"/>
    <col min="22" max="43" width="5.625" style="3" customWidth="1"/>
    <col min="44" max="16384" width="8.875" style="3" customWidth="1"/>
  </cols>
  <sheetData>
    <row r="1" ht="12.75">
      <c r="A1" s="246" t="s">
        <v>281</v>
      </c>
    </row>
    <row r="2" spans="1:45" ht="12.75" customHeight="1">
      <c r="A2" s="332" t="s">
        <v>255</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34">
        <v>2014</v>
      </c>
      <c r="AE2" s="335"/>
      <c r="AF2" s="335"/>
      <c r="AG2" s="337"/>
      <c r="AH2" s="334">
        <v>2015</v>
      </c>
      <c r="AI2" s="335"/>
      <c r="AJ2" s="335"/>
      <c r="AK2" s="337"/>
      <c r="AL2" s="334">
        <v>2016</v>
      </c>
      <c r="AM2" s="335"/>
      <c r="AN2" s="335"/>
      <c r="AO2" s="336"/>
      <c r="AP2" s="335">
        <v>2017</v>
      </c>
      <c r="AQ2" s="335"/>
      <c r="AR2" s="325"/>
      <c r="AS2" s="325"/>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6" t="s">
        <v>3</v>
      </c>
      <c r="AH3" s="34" t="s">
        <v>0</v>
      </c>
      <c r="AI3" s="35" t="s">
        <v>1</v>
      </c>
      <c r="AJ3" s="35" t="s">
        <v>2</v>
      </c>
      <c r="AK3" s="36" t="s">
        <v>3</v>
      </c>
      <c r="AL3" s="330" t="s">
        <v>0</v>
      </c>
      <c r="AM3" s="35" t="s">
        <v>1</v>
      </c>
      <c r="AN3" s="35" t="s">
        <v>2</v>
      </c>
      <c r="AO3" s="36" t="s">
        <v>3</v>
      </c>
      <c r="AP3" s="267" t="s">
        <v>0</v>
      </c>
      <c r="AQ3" s="35" t="s">
        <v>1</v>
      </c>
    </row>
    <row r="4" spans="1:43"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16"/>
      <c r="AM4" s="5"/>
      <c r="AN4" s="5"/>
      <c r="AO4" s="18"/>
      <c r="AP4" s="5"/>
      <c r="AQ4" s="5"/>
    </row>
    <row r="5" spans="1:43" s="7" customFormat="1" ht="12.75">
      <c r="A5" s="100" t="s">
        <v>256</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1"/>
      <c r="AH5" s="39"/>
      <c r="AI5" s="40"/>
      <c r="AJ5" s="40"/>
      <c r="AK5" s="41"/>
      <c r="AL5" s="16"/>
      <c r="AM5" s="5"/>
      <c r="AN5" s="5"/>
      <c r="AO5" s="41"/>
      <c r="AP5" s="5"/>
      <c r="AQ5" s="5"/>
    </row>
    <row r="6" spans="1:43" s="7" customFormat="1" ht="12.75">
      <c r="A6" s="27" t="s">
        <v>89</v>
      </c>
      <c r="B6" s="39">
        <v>24.6</v>
      </c>
      <c r="C6" s="40">
        <v>27.4</v>
      </c>
      <c r="D6" s="40">
        <v>23.1</v>
      </c>
      <c r="E6" s="40">
        <v>23.7</v>
      </c>
      <c r="F6" s="39">
        <v>22.4</v>
      </c>
      <c r="G6" s="40">
        <v>23.4</v>
      </c>
      <c r="H6" s="40">
        <v>36.9</v>
      </c>
      <c r="I6" s="41">
        <v>56.8</v>
      </c>
      <c r="J6" s="39">
        <v>59.5</v>
      </c>
      <c r="K6" s="40">
        <v>55.1</v>
      </c>
      <c r="L6" s="40">
        <v>50.8</v>
      </c>
      <c r="M6" s="41">
        <v>45.1</v>
      </c>
      <c r="N6" s="39">
        <v>60.6</v>
      </c>
      <c r="O6" s="40">
        <v>59.6</v>
      </c>
      <c r="P6" s="40">
        <v>61</v>
      </c>
      <c r="Q6" s="41">
        <v>62.8</v>
      </c>
      <c r="R6" s="39">
        <v>59.7</v>
      </c>
      <c r="S6" s="40">
        <v>64.4</v>
      </c>
      <c r="T6" s="40">
        <v>70.3</v>
      </c>
      <c r="U6" s="41">
        <v>69.4</v>
      </c>
      <c r="V6" s="39">
        <v>65.5</v>
      </c>
      <c r="W6" s="40">
        <v>66.2</v>
      </c>
      <c r="X6" s="40">
        <v>72</v>
      </c>
      <c r="Y6" s="41">
        <v>67.4</v>
      </c>
      <c r="Z6" s="39">
        <v>64.3</v>
      </c>
      <c r="AA6" s="40">
        <f>75.1-10.3</f>
        <v>64.8</v>
      </c>
      <c r="AB6" s="40">
        <f>56.8+5.1</f>
        <v>61.9</v>
      </c>
      <c r="AC6" s="41">
        <v>69.2</v>
      </c>
      <c r="AD6" s="39">
        <v>64.5</v>
      </c>
      <c r="AE6" s="40">
        <v>68.2</v>
      </c>
      <c r="AF6" s="40">
        <v>75.9</v>
      </c>
      <c r="AG6" s="41">
        <v>73.5</v>
      </c>
      <c r="AH6" s="39">
        <v>69.9</v>
      </c>
      <c r="AI6" s="40">
        <v>75</v>
      </c>
      <c r="AJ6" s="40">
        <v>69.6</v>
      </c>
      <c r="AK6" s="41">
        <v>69.6</v>
      </c>
      <c r="AL6" s="39">
        <v>63.9</v>
      </c>
      <c r="AM6" s="40">
        <v>67.6</v>
      </c>
      <c r="AN6" s="40">
        <v>72.1</v>
      </c>
      <c r="AO6" s="41">
        <v>77.9</v>
      </c>
      <c r="AP6" s="40">
        <v>80.6</v>
      </c>
      <c r="AQ6" s="40">
        <v>80.9</v>
      </c>
    </row>
    <row r="7" spans="1:43" s="7" customFormat="1" ht="12.75">
      <c r="A7" s="101" t="s">
        <v>81</v>
      </c>
      <c r="B7" s="39">
        <v>62.5</v>
      </c>
      <c r="C7" s="40">
        <v>69.1</v>
      </c>
      <c r="D7" s="40">
        <v>66.6</v>
      </c>
      <c r="E7" s="40">
        <v>68.3</v>
      </c>
      <c r="F7" s="39">
        <v>68.7</v>
      </c>
      <c r="G7" s="40">
        <v>71.4</v>
      </c>
      <c r="H7" s="40">
        <v>71.5</v>
      </c>
      <c r="I7" s="41">
        <v>76.1</v>
      </c>
      <c r="J7" s="39">
        <v>71.2</v>
      </c>
      <c r="K7" s="40">
        <f>71.7-0.7</f>
        <v>71</v>
      </c>
      <c r="L7" s="40">
        <v>73.4</v>
      </c>
      <c r="M7" s="41">
        <v>72.2</v>
      </c>
      <c r="N7" s="39">
        <v>69.8</v>
      </c>
      <c r="O7" s="40">
        <f>66.3-0.1</f>
        <v>66.2</v>
      </c>
      <c r="P7" s="40">
        <f>64.8-0.1</f>
        <v>64.7</v>
      </c>
      <c r="Q7" s="41">
        <f>65.2-0.2</f>
        <v>65</v>
      </c>
      <c r="R7" s="39">
        <f>62.1-0.1</f>
        <v>62</v>
      </c>
      <c r="S7" s="40">
        <f>64.7-0.5</f>
        <v>64.2</v>
      </c>
      <c r="T7" s="40">
        <f>63.9-0.3</f>
        <v>63.6</v>
      </c>
      <c r="U7" s="41">
        <f>65-0.7</f>
        <v>64.3</v>
      </c>
      <c r="V7" s="39">
        <f>61.7-0.4</f>
        <v>61.300000000000004</v>
      </c>
      <c r="W7" s="40">
        <f>63.6-0.4</f>
        <v>63.2</v>
      </c>
      <c r="X7" s="40">
        <f>61.4-0.4</f>
        <v>61</v>
      </c>
      <c r="Y7" s="41">
        <f>62.8-1.6</f>
        <v>61.199999999999996</v>
      </c>
      <c r="Z7" s="39">
        <f>63.6-0.1</f>
        <v>63.5</v>
      </c>
      <c r="AA7" s="40">
        <f>64.6-0.1</f>
        <v>64.5</v>
      </c>
      <c r="AB7" s="40">
        <f>65.3-1</f>
        <v>64.3</v>
      </c>
      <c r="AC7" s="41">
        <f>64.2-1.8</f>
        <v>62.400000000000006</v>
      </c>
      <c r="AD7" s="39">
        <v>62.5</v>
      </c>
      <c r="AE7" s="40">
        <f>62.8-0.2</f>
        <v>62.599999999999994</v>
      </c>
      <c r="AF7" s="40">
        <f>61.8-0.6</f>
        <v>61.199999999999996</v>
      </c>
      <c r="AG7" s="41">
        <v>60.1</v>
      </c>
      <c r="AH7" s="39">
        <v>59.1</v>
      </c>
      <c r="AI7" s="40">
        <v>62.9</v>
      </c>
      <c r="AJ7" s="40">
        <v>61.8</v>
      </c>
      <c r="AK7" s="41">
        <v>62.8</v>
      </c>
      <c r="AL7" s="39">
        <v>60.8</v>
      </c>
      <c r="AM7" s="40">
        <v>63.8</v>
      </c>
      <c r="AN7" s="40">
        <v>63.1</v>
      </c>
      <c r="AO7" s="41">
        <v>64.3</v>
      </c>
      <c r="AP7" s="40">
        <v>67.1</v>
      </c>
      <c r="AQ7" s="40">
        <v>69.3</v>
      </c>
    </row>
    <row r="8" spans="1:43" s="4" customFormat="1" ht="12.75">
      <c r="A8" s="102" t="s">
        <v>82</v>
      </c>
      <c r="B8" s="39">
        <v>25.2</v>
      </c>
      <c r="C8" s="40">
        <v>25.1</v>
      </c>
      <c r="D8" s="40">
        <v>24.8</v>
      </c>
      <c r="E8" s="40">
        <v>28.4</v>
      </c>
      <c r="F8" s="39">
        <v>30.5</v>
      </c>
      <c r="G8" s="40">
        <v>34.7</v>
      </c>
      <c r="H8" s="40">
        <v>36.9</v>
      </c>
      <c r="I8" s="41">
        <v>35.3</v>
      </c>
      <c r="J8" s="39">
        <f>33.9-0.1</f>
        <v>33.8</v>
      </c>
      <c r="K8" s="40">
        <v>41.4</v>
      </c>
      <c r="L8" s="40">
        <v>43.6</v>
      </c>
      <c r="M8" s="41">
        <f>43-0.2</f>
        <v>42.8</v>
      </c>
      <c r="N8" s="39">
        <f>39.2-0.1</f>
        <v>39.1</v>
      </c>
      <c r="O8" s="40">
        <v>43.9</v>
      </c>
      <c r="P8" s="40">
        <f>48.9-0.3</f>
        <v>48.6</v>
      </c>
      <c r="Q8" s="41">
        <f>53-0.2</f>
        <v>52.8</v>
      </c>
      <c r="R8" s="39">
        <f>50.8-0.2</f>
        <v>50.599999999999994</v>
      </c>
      <c r="S8" s="40">
        <f>51.1-0.2</f>
        <v>50.9</v>
      </c>
      <c r="T8" s="40">
        <f>52.2-0.2</f>
        <v>52</v>
      </c>
      <c r="U8" s="41">
        <f>54.3-0.2</f>
        <v>54.099999999999994</v>
      </c>
      <c r="V8" s="39">
        <f>49.6-0.3-0.3</f>
        <v>49.00000000000001</v>
      </c>
      <c r="W8" s="40">
        <f>51.1-0.4-0.4</f>
        <v>50.300000000000004</v>
      </c>
      <c r="X8" s="40">
        <f>51.9-0.4-0.7</f>
        <v>50.8</v>
      </c>
      <c r="Y8" s="41">
        <f>54.4-0.6</f>
        <v>53.8</v>
      </c>
      <c r="Z8" s="40">
        <f>42.5-0.3-0.8</f>
        <v>41.400000000000006</v>
      </c>
      <c r="AA8" s="40">
        <f>46.3-0.2-1.1</f>
        <v>44.99999999999999</v>
      </c>
      <c r="AB8" s="40">
        <f>49.4-0.3-1.1</f>
        <v>48</v>
      </c>
      <c r="AC8" s="41">
        <f>52-0.5-1.4</f>
        <v>50.1</v>
      </c>
      <c r="AD8" s="40">
        <f>48.6-0.9-1.6</f>
        <v>46.1</v>
      </c>
      <c r="AE8" s="40">
        <f>51.8-1.9</f>
        <v>49.9</v>
      </c>
      <c r="AF8" s="40">
        <f>25.6-1.9</f>
        <v>23.700000000000003</v>
      </c>
      <c r="AG8" s="41">
        <f>25.2-2</f>
        <v>23.2</v>
      </c>
      <c r="AH8" s="40">
        <f>18.2-2.1</f>
        <v>16.099999999999998</v>
      </c>
      <c r="AI8" s="40">
        <f>16.4-2.2</f>
        <v>14.2</v>
      </c>
      <c r="AJ8" s="40">
        <f>17.6-2.6</f>
        <v>15.000000000000002</v>
      </c>
      <c r="AK8" s="41">
        <f>14.7-2.4</f>
        <v>12.299999999999999</v>
      </c>
      <c r="AL8" s="39">
        <f>24-2.1</f>
        <v>21.9</v>
      </c>
      <c r="AM8" s="40">
        <v>32</v>
      </c>
      <c r="AN8" s="40">
        <v>34.6</v>
      </c>
      <c r="AO8" s="41">
        <v>27.1</v>
      </c>
      <c r="AP8" s="40">
        <v>31.7</v>
      </c>
      <c r="AQ8" s="40">
        <v>27.2</v>
      </c>
    </row>
    <row r="9" spans="1:43" s="9" customFormat="1" ht="12.75">
      <c r="A9" s="27" t="s">
        <v>83</v>
      </c>
      <c r="B9" s="39">
        <v>27.6</v>
      </c>
      <c r="C9" s="40">
        <v>21.9</v>
      </c>
      <c r="D9" s="40">
        <v>30.7</v>
      </c>
      <c r="E9" s="40">
        <v>29.7</v>
      </c>
      <c r="F9" s="39">
        <v>33.6</v>
      </c>
      <c r="G9" s="40">
        <v>25.8</v>
      </c>
      <c r="H9" s="40">
        <v>30.7</v>
      </c>
      <c r="I9" s="41">
        <v>32.7</v>
      </c>
      <c r="J9" s="39">
        <v>34.2</v>
      </c>
      <c r="K9" s="40">
        <v>33.2</v>
      </c>
      <c r="L9" s="40">
        <v>36.5</v>
      </c>
      <c r="M9" s="41">
        <v>37.9</v>
      </c>
      <c r="N9" s="39">
        <v>36.6</v>
      </c>
      <c r="O9" s="40">
        <v>38.6</v>
      </c>
      <c r="P9" s="40">
        <v>40.1</v>
      </c>
      <c r="Q9" s="41">
        <v>39.5</v>
      </c>
      <c r="R9" s="39">
        <v>42.8</v>
      </c>
      <c r="S9" s="40">
        <v>42.6</v>
      </c>
      <c r="T9" s="40">
        <v>49.1</v>
      </c>
      <c r="U9" s="41">
        <v>44.1</v>
      </c>
      <c r="V9" s="39">
        <v>43.9</v>
      </c>
      <c r="W9" s="40">
        <v>45.1</v>
      </c>
      <c r="X9" s="40">
        <v>43</v>
      </c>
      <c r="Y9" s="41">
        <v>46.5</v>
      </c>
      <c r="Z9" s="40">
        <f>47.2+1.8</f>
        <v>49</v>
      </c>
      <c r="AA9" s="40">
        <v>51.6</v>
      </c>
      <c r="AB9" s="40">
        <v>49.1</v>
      </c>
      <c r="AC9" s="41">
        <v>44.5</v>
      </c>
      <c r="AD9" s="40">
        <v>54.6</v>
      </c>
      <c r="AE9" s="40">
        <v>54</v>
      </c>
      <c r="AF9" s="40">
        <v>51.4</v>
      </c>
      <c r="AG9" s="41">
        <v>50</v>
      </c>
      <c r="AH9" s="40">
        <v>57.1</v>
      </c>
      <c r="AI9" s="40">
        <v>58.5</v>
      </c>
      <c r="AJ9" s="40">
        <v>54</v>
      </c>
      <c r="AK9" s="41">
        <v>51.5</v>
      </c>
      <c r="AL9" s="39">
        <v>64</v>
      </c>
      <c r="AM9" s="40">
        <v>58.8</v>
      </c>
      <c r="AN9" s="40">
        <v>60.4</v>
      </c>
      <c r="AO9" s="41">
        <v>67.2</v>
      </c>
      <c r="AP9" s="40">
        <v>67.1</v>
      </c>
      <c r="AQ9" s="40">
        <v>64.5</v>
      </c>
    </row>
    <row r="10" spans="1:43" s="9" customFormat="1" ht="12.75">
      <c r="A10" s="102" t="s">
        <v>84</v>
      </c>
      <c r="B10" s="39">
        <v>50</v>
      </c>
      <c r="C10" s="40">
        <v>54.9</v>
      </c>
      <c r="D10" s="40">
        <v>58.2</v>
      </c>
      <c r="E10" s="40">
        <v>50.1</v>
      </c>
      <c r="F10" s="39">
        <v>33.7</v>
      </c>
      <c r="G10" s="40">
        <v>27.9</v>
      </c>
      <c r="H10" s="40">
        <v>21.8</v>
      </c>
      <c r="I10" s="41">
        <v>15.2</v>
      </c>
      <c r="J10" s="39">
        <v>12.2</v>
      </c>
      <c r="K10" s="40">
        <v>14.3</v>
      </c>
      <c r="L10" s="40">
        <v>13.5</v>
      </c>
      <c r="M10" s="41">
        <v>23.2</v>
      </c>
      <c r="N10" s="39">
        <v>16.4</v>
      </c>
      <c r="O10" s="40">
        <v>20.5</v>
      </c>
      <c r="P10" s="40">
        <v>21.3</v>
      </c>
      <c r="Q10" s="41">
        <v>23.1</v>
      </c>
      <c r="R10" s="39">
        <v>22.6</v>
      </c>
      <c r="S10" s="40">
        <v>23</v>
      </c>
      <c r="T10" s="40">
        <v>18.9</v>
      </c>
      <c r="U10" s="41">
        <v>15.9</v>
      </c>
      <c r="V10" s="39">
        <v>15.2</v>
      </c>
      <c r="W10" s="40">
        <v>14.8</v>
      </c>
      <c r="X10" s="40">
        <v>14.7</v>
      </c>
      <c r="Y10" s="41">
        <v>16.9</v>
      </c>
      <c r="Z10" s="40">
        <v>16.3</v>
      </c>
      <c r="AA10" s="40">
        <v>17.8</v>
      </c>
      <c r="AB10" s="40">
        <v>19.3</v>
      </c>
      <c r="AC10" s="41">
        <v>22</v>
      </c>
      <c r="AD10" s="40">
        <v>20.5</v>
      </c>
      <c r="AE10" s="40">
        <v>21.2</v>
      </c>
      <c r="AF10" s="40">
        <v>21.1</v>
      </c>
      <c r="AG10" s="41">
        <v>22.8</v>
      </c>
      <c r="AH10" s="40">
        <v>23</v>
      </c>
      <c r="AI10" s="40">
        <v>26.4</v>
      </c>
      <c r="AJ10" s="40">
        <v>26.1</v>
      </c>
      <c r="AK10" s="41">
        <v>24.9</v>
      </c>
      <c r="AL10" s="39">
        <v>21.8</v>
      </c>
      <c r="AM10" s="40">
        <v>21.9</v>
      </c>
      <c r="AN10" s="40">
        <v>22.1</v>
      </c>
      <c r="AO10" s="41">
        <v>23.1</v>
      </c>
      <c r="AP10" s="40">
        <v>23.5</v>
      </c>
      <c r="AQ10" s="40">
        <v>24.6</v>
      </c>
    </row>
    <row r="11" spans="1:43" s="9" customFormat="1" ht="12.75">
      <c r="A11" s="101" t="s">
        <v>80</v>
      </c>
      <c r="B11" s="39">
        <v>33.1</v>
      </c>
      <c r="C11" s="40">
        <v>32.4</v>
      </c>
      <c r="D11" s="40">
        <v>28.2</v>
      </c>
      <c r="E11" s="40">
        <v>31.1</v>
      </c>
      <c r="F11" s="39">
        <v>25.7</v>
      </c>
      <c r="G11" s="40">
        <v>16.3</v>
      </c>
      <c r="H11" s="40">
        <v>16.2</v>
      </c>
      <c r="I11" s="41">
        <v>17.2</v>
      </c>
      <c r="J11" s="39">
        <v>15.2</v>
      </c>
      <c r="K11" s="40">
        <v>17.3</v>
      </c>
      <c r="L11" s="40">
        <v>20</v>
      </c>
      <c r="M11" s="41">
        <v>21.4</v>
      </c>
      <c r="N11" s="39">
        <v>21.3</v>
      </c>
      <c r="O11" s="40">
        <v>17.4</v>
      </c>
      <c r="P11" s="40">
        <v>20.3</v>
      </c>
      <c r="Q11" s="41">
        <v>15.9</v>
      </c>
      <c r="R11" s="39">
        <v>19.9</v>
      </c>
      <c r="S11" s="40">
        <v>23.2</v>
      </c>
      <c r="T11" s="40">
        <v>17.6</v>
      </c>
      <c r="U11" s="41">
        <v>16.1</v>
      </c>
      <c r="V11" s="39">
        <v>19.1</v>
      </c>
      <c r="W11" s="40">
        <v>12.3</v>
      </c>
      <c r="X11" s="40">
        <v>10.8</v>
      </c>
      <c r="Y11" s="41">
        <v>14.5</v>
      </c>
      <c r="Z11" s="40">
        <v>10.9</v>
      </c>
      <c r="AA11" s="40">
        <v>14.3</v>
      </c>
      <c r="AB11" s="40">
        <v>10.5</v>
      </c>
      <c r="AC11" s="41">
        <v>10.6</v>
      </c>
      <c r="AD11" s="40">
        <v>15.4</v>
      </c>
      <c r="AE11" s="40">
        <v>9.1</v>
      </c>
      <c r="AF11" s="40">
        <v>9.1</v>
      </c>
      <c r="AG11" s="41">
        <v>9.5</v>
      </c>
      <c r="AH11" s="40">
        <v>10.3</v>
      </c>
      <c r="AI11" s="40">
        <v>11.2</v>
      </c>
      <c r="AJ11" s="40">
        <v>9.3</v>
      </c>
      <c r="AK11" s="41">
        <v>15.4</v>
      </c>
      <c r="AL11" s="39">
        <v>8.8</v>
      </c>
      <c r="AM11" s="40">
        <v>8</v>
      </c>
      <c r="AN11" s="40">
        <v>7.6</v>
      </c>
      <c r="AO11" s="41">
        <v>4.7</v>
      </c>
      <c r="AP11" s="40">
        <v>7.4</v>
      </c>
      <c r="AQ11" s="40">
        <v>5.9</v>
      </c>
    </row>
    <row r="12" spans="1:43" s="7" customFormat="1" ht="12.75">
      <c r="A12" s="27" t="s">
        <v>85</v>
      </c>
      <c r="B12" s="39">
        <v>8.5</v>
      </c>
      <c r="C12" s="40">
        <v>7.4</v>
      </c>
      <c r="D12" s="40">
        <v>9.2</v>
      </c>
      <c r="E12" s="40">
        <v>1.8</v>
      </c>
      <c r="F12" s="39">
        <v>7.2</v>
      </c>
      <c r="G12" s="40">
        <v>8</v>
      </c>
      <c r="H12" s="40">
        <v>7.4</v>
      </c>
      <c r="I12" s="41">
        <v>6.6</v>
      </c>
      <c r="J12" s="39">
        <v>6.3</v>
      </c>
      <c r="K12" s="40">
        <v>6.4</v>
      </c>
      <c r="L12" s="40">
        <v>6.4</v>
      </c>
      <c r="M12" s="41">
        <v>6.8</v>
      </c>
      <c r="N12" s="39">
        <v>6.8</v>
      </c>
      <c r="O12" s="40">
        <v>6.9</v>
      </c>
      <c r="P12" s="40">
        <v>7.5</v>
      </c>
      <c r="Q12" s="41">
        <v>7.3</v>
      </c>
      <c r="R12" s="39">
        <v>7.3</v>
      </c>
      <c r="S12" s="40">
        <v>8.2</v>
      </c>
      <c r="T12" s="40">
        <v>9</v>
      </c>
      <c r="U12" s="41">
        <v>6.9</v>
      </c>
      <c r="V12" s="39">
        <v>6.5</v>
      </c>
      <c r="W12" s="40">
        <v>7.1</v>
      </c>
      <c r="X12" s="40">
        <v>6.8</v>
      </c>
      <c r="Y12" s="41">
        <v>7.1</v>
      </c>
      <c r="Z12" s="40">
        <v>7.8</v>
      </c>
      <c r="AA12" s="40">
        <v>7.6</v>
      </c>
      <c r="AB12" s="40">
        <v>8</v>
      </c>
      <c r="AC12" s="41">
        <v>7.5</v>
      </c>
      <c r="AD12" s="40">
        <v>7.1</v>
      </c>
      <c r="AE12" s="40">
        <v>7.9</v>
      </c>
      <c r="AF12" s="40">
        <v>7.8</v>
      </c>
      <c r="AG12" s="41">
        <v>7.3</v>
      </c>
      <c r="AH12" s="40">
        <v>8.3</v>
      </c>
      <c r="AI12" s="40">
        <v>6.4</v>
      </c>
      <c r="AJ12" s="40">
        <v>6</v>
      </c>
      <c r="AK12" s="41">
        <v>5.7</v>
      </c>
      <c r="AL12" s="39">
        <v>6</v>
      </c>
      <c r="AM12" s="40">
        <v>6.4</v>
      </c>
      <c r="AN12" s="40">
        <v>6.1</v>
      </c>
      <c r="AO12" s="41">
        <v>6.1</v>
      </c>
      <c r="AP12" s="40">
        <v>7.6</v>
      </c>
      <c r="AQ12" s="40">
        <v>6.9</v>
      </c>
    </row>
    <row r="13" spans="1:43" s="9" customFormat="1" ht="12.75">
      <c r="A13" s="102" t="s">
        <v>86</v>
      </c>
      <c r="B13" s="39">
        <v>0.1</v>
      </c>
      <c r="C13" s="40">
        <v>0.1</v>
      </c>
      <c r="D13" s="40">
        <v>0.2</v>
      </c>
      <c r="E13" s="40">
        <v>0.2</v>
      </c>
      <c r="F13" s="39">
        <v>0.1</v>
      </c>
      <c r="G13" s="40">
        <v>0.2</v>
      </c>
      <c r="H13" s="40">
        <v>0.2</v>
      </c>
      <c r="I13" s="41">
        <v>0.2</v>
      </c>
      <c r="J13" s="39">
        <v>0.1</v>
      </c>
      <c r="K13" s="40">
        <v>0.1</v>
      </c>
      <c r="L13" s="40">
        <v>0.1</v>
      </c>
      <c r="M13" s="41">
        <v>0.1</v>
      </c>
      <c r="N13" s="39">
        <v>0.1</v>
      </c>
      <c r="O13" s="40">
        <v>0.2</v>
      </c>
      <c r="P13" s="40">
        <v>0.2</v>
      </c>
      <c r="Q13" s="41">
        <v>0.2</v>
      </c>
      <c r="R13" s="39">
        <v>0</v>
      </c>
      <c r="S13" s="40">
        <v>0.2</v>
      </c>
      <c r="T13" s="40">
        <v>0.2</v>
      </c>
      <c r="U13" s="41">
        <v>0.2</v>
      </c>
      <c r="V13" s="39">
        <f>5.5+0.4</f>
        <v>5.9</v>
      </c>
      <c r="W13" s="40">
        <f>5.1+0.8</f>
        <v>5.8999999999999995</v>
      </c>
      <c r="X13" s="40">
        <f>4.5+0.5</f>
        <v>5</v>
      </c>
      <c r="Y13" s="41">
        <f>5+0.5</f>
        <v>5.5</v>
      </c>
      <c r="Z13" s="40">
        <v>6.4</v>
      </c>
      <c r="AA13" s="40">
        <v>6.8</v>
      </c>
      <c r="AB13" s="40">
        <v>5.8</v>
      </c>
      <c r="AC13" s="41">
        <v>7.3</v>
      </c>
      <c r="AD13" s="40">
        <v>6.4</v>
      </c>
      <c r="AE13" s="40">
        <v>7.9</v>
      </c>
      <c r="AF13" s="40">
        <v>8.2</v>
      </c>
      <c r="AG13" s="41">
        <v>8.3</v>
      </c>
      <c r="AH13" s="40">
        <v>7.6</v>
      </c>
      <c r="AI13" s="40">
        <v>8.7</v>
      </c>
      <c r="AJ13" s="40">
        <v>7.9</v>
      </c>
      <c r="AK13" s="41">
        <v>10</v>
      </c>
      <c r="AL13" s="39">
        <v>9</v>
      </c>
      <c r="AM13" s="40">
        <v>11</v>
      </c>
      <c r="AN13" s="40">
        <v>11.1</v>
      </c>
      <c r="AO13" s="41">
        <v>12.3</v>
      </c>
      <c r="AP13" s="40">
        <v>10.9</v>
      </c>
      <c r="AQ13" s="40">
        <v>11.8</v>
      </c>
    </row>
    <row r="14" spans="1:43" s="9" customFormat="1" ht="12.75">
      <c r="A14" s="102" t="s">
        <v>87</v>
      </c>
      <c r="B14" s="39">
        <v>5.5</v>
      </c>
      <c r="C14" s="40">
        <v>5.8</v>
      </c>
      <c r="D14" s="40">
        <v>5.7</v>
      </c>
      <c r="E14" s="40">
        <v>4.7</v>
      </c>
      <c r="F14" s="39">
        <v>3.9</v>
      </c>
      <c r="G14" s="40">
        <v>4.1</v>
      </c>
      <c r="H14" s="40">
        <v>4</v>
      </c>
      <c r="I14" s="41">
        <v>3.8</v>
      </c>
      <c r="J14" s="39">
        <v>3.2</v>
      </c>
      <c r="K14" s="40">
        <v>3.5</v>
      </c>
      <c r="L14" s="40">
        <v>3.9</v>
      </c>
      <c r="M14" s="41">
        <v>3.7</v>
      </c>
      <c r="N14" s="39">
        <v>3.1</v>
      </c>
      <c r="O14" s="40">
        <v>3.2</v>
      </c>
      <c r="P14" s="40">
        <v>3.2</v>
      </c>
      <c r="Q14" s="41">
        <v>3.5</v>
      </c>
      <c r="R14" s="39">
        <v>3.4</v>
      </c>
      <c r="S14" s="40">
        <v>3.7</v>
      </c>
      <c r="T14" s="40">
        <v>3.7</v>
      </c>
      <c r="U14" s="41">
        <v>3.5</v>
      </c>
      <c r="V14" s="39">
        <v>3.3</v>
      </c>
      <c r="W14" s="40">
        <v>3.5</v>
      </c>
      <c r="X14" s="40">
        <v>3.5</v>
      </c>
      <c r="Y14" s="41">
        <v>3.8</v>
      </c>
      <c r="Z14" s="40">
        <v>3.9</v>
      </c>
      <c r="AA14" s="40">
        <v>3.9</v>
      </c>
      <c r="AB14" s="40">
        <v>4</v>
      </c>
      <c r="AC14" s="41">
        <v>4.2</v>
      </c>
      <c r="AD14" s="40">
        <v>4.2</v>
      </c>
      <c r="AE14" s="40">
        <v>4.4</v>
      </c>
      <c r="AF14" s="40">
        <v>4.5</v>
      </c>
      <c r="AG14" s="41">
        <v>4.6</v>
      </c>
      <c r="AH14" s="40">
        <v>4.6</v>
      </c>
      <c r="AI14" s="40">
        <v>4.9</v>
      </c>
      <c r="AJ14" s="40">
        <v>5.1</v>
      </c>
      <c r="AK14" s="41">
        <v>5.3</v>
      </c>
      <c r="AL14" s="39">
        <v>5.2</v>
      </c>
      <c r="AM14" s="40">
        <v>6</v>
      </c>
      <c r="AN14" s="40">
        <v>6.3</v>
      </c>
      <c r="AO14" s="41">
        <v>6.5</v>
      </c>
      <c r="AP14" s="40">
        <v>6.7</v>
      </c>
      <c r="AQ14" s="40">
        <v>7.2</v>
      </c>
    </row>
    <row r="15" spans="1:43" s="9" customFormat="1" ht="12.75">
      <c r="A15" s="102" t="s">
        <v>276</v>
      </c>
      <c r="B15" s="39">
        <v>0.6</v>
      </c>
      <c r="C15" s="40">
        <v>0.8</v>
      </c>
      <c r="D15" s="40">
        <v>0.8</v>
      </c>
      <c r="E15" s="40">
        <v>2</v>
      </c>
      <c r="F15" s="39">
        <v>1.1</v>
      </c>
      <c r="G15" s="40">
        <v>1.6</v>
      </c>
      <c r="H15" s="40">
        <v>9.5</v>
      </c>
      <c r="I15" s="41">
        <v>16.2</v>
      </c>
      <c r="J15" s="39">
        <v>14.5</v>
      </c>
      <c r="K15" s="40">
        <v>20.8</v>
      </c>
      <c r="L15" s="40">
        <v>22.700000000000003</v>
      </c>
      <c r="M15" s="41">
        <v>18.9</v>
      </c>
      <c r="N15" s="39">
        <v>4</v>
      </c>
      <c r="O15" s="40">
        <v>15.200000000000001</v>
      </c>
      <c r="P15" s="40">
        <v>11.600000000000001</v>
      </c>
      <c r="Q15" s="41">
        <v>16.9</v>
      </c>
      <c r="R15" s="39">
        <v>8.4</v>
      </c>
      <c r="S15" s="40">
        <v>7.3</v>
      </c>
      <c r="T15" s="40">
        <v>6.9</v>
      </c>
      <c r="U15" s="41">
        <v>7.3</v>
      </c>
      <c r="V15" s="39">
        <f>5.5+0.3-0.3</f>
        <v>5.5</v>
      </c>
      <c r="W15" s="40">
        <f>8.5+0.4-0.3</f>
        <v>8.6</v>
      </c>
      <c r="X15" s="40">
        <f>9.6+0.7-0.3</f>
        <v>9.999999999999998</v>
      </c>
      <c r="Y15" s="41">
        <f>8+0.6-0.3</f>
        <v>8.299999999999999</v>
      </c>
      <c r="Z15" s="40">
        <f>2.6+0.8-0.3</f>
        <v>3.1000000000000005</v>
      </c>
      <c r="AA15" s="40">
        <f>3.6-0.5+1.1-0.3</f>
        <v>3.9000000000000004</v>
      </c>
      <c r="AB15" s="40">
        <f>-8-1.2+1.1-0.3</f>
        <v>-8.4</v>
      </c>
      <c r="AC15" s="41">
        <f>4.4+1.4-0.3</f>
        <v>5.500000000000001</v>
      </c>
      <c r="AD15" s="40">
        <f>10.4+1.6-0.3</f>
        <v>11.7</v>
      </c>
      <c r="AE15" s="40">
        <f>10.5+1.9-0.3</f>
        <v>12.1</v>
      </c>
      <c r="AF15" s="40">
        <f>11.5+1.9-0.3</f>
        <v>13.1</v>
      </c>
      <c r="AG15" s="41">
        <f>12.5+2-0.3</f>
        <v>14.2</v>
      </c>
      <c r="AH15" s="40">
        <f>13.7+2.1-0.3</f>
        <v>15.499999999999998</v>
      </c>
      <c r="AI15" s="40">
        <f>15.6+2.2-0.3</f>
        <v>17.5</v>
      </c>
      <c r="AJ15" s="40">
        <f>12.7+2.6-0.3</f>
        <v>14.999999999999998</v>
      </c>
      <c r="AK15" s="41">
        <f>12.8+2.4-0.3</f>
        <v>14.9</v>
      </c>
      <c r="AL15" s="39">
        <f>12+2.1-0.3</f>
        <v>13.799999999999999</v>
      </c>
      <c r="AM15" s="40">
        <f>9.9-0.3</f>
        <v>9.6</v>
      </c>
      <c r="AN15" s="40">
        <f>8.2-0.3</f>
        <v>7.8999999999999995</v>
      </c>
      <c r="AO15" s="41">
        <f>18.9-0.3</f>
        <v>18.599999999999998</v>
      </c>
      <c r="AP15" s="40">
        <v>14.1</v>
      </c>
      <c r="AQ15" s="40">
        <v>18.1</v>
      </c>
    </row>
    <row r="16" spans="1:43" ht="12.75">
      <c r="A16" s="27" t="s">
        <v>88</v>
      </c>
      <c r="B16" s="39">
        <v>0</v>
      </c>
      <c r="C16" s="40">
        <v>0</v>
      </c>
      <c r="D16" s="40">
        <v>0</v>
      </c>
      <c r="E16" s="40">
        <v>0</v>
      </c>
      <c r="F16" s="39">
        <v>0</v>
      </c>
      <c r="G16" s="40">
        <v>14.5</v>
      </c>
      <c r="H16" s="40">
        <v>4.4</v>
      </c>
      <c r="I16" s="41">
        <v>4.7</v>
      </c>
      <c r="J16" s="39">
        <v>1.9</v>
      </c>
      <c r="K16" s="40">
        <v>2.4</v>
      </c>
      <c r="L16" s="40">
        <v>0.2</v>
      </c>
      <c r="M16" s="41">
        <v>0.4</v>
      </c>
      <c r="N16" s="39">
        <v>0.4</v>
      </c>
      <c r="O16" s="40">
        <v>1.9</v>
      </c>
      <c r="P16" s="40">
        <v>0.1</v>
      </c>
      <c r="Q16" s="41">
        <v>0.1</v>
      </c>
      <c r="R16" s="39">
        <v>4.3</v>
      </c>
      <c r="S16" s="40">
        <v>2.9</v>
      </c>
      <c r="T16" s="40">
        <v>0.2</v>
      </c>
      <c r="U16" s="41">
        <v>3.4</v>
      </c>
      <c r="V16" s="39">
        <v>1.1</v>
      </c>
      <c r="W16" s="40">
        <v>0</v>
      </c>
      <c r="X16" s="40">
        <v>0</v>
      </c>
      <c r="Y16" s="41">
        <v>0.4</v>
      </c>
      <c r="Z16" s="40">
        <v>0</v>
      </c>
      <c r="AA16" s="40">
        <v>0</v>
      </c>
      <c r="AB16" s="40">
        <v>0</v>
      </c>
      <c r="AC16" s="41">
        <v>0</v>
      </c>
      <c r="AD16" s="40">
        <v>0</v>
      </c>
      <c r="AE16" s="40">
        <v>0</v>
      </c>
      <c r="AF16" s="40">
        <v>0</v>
      </c>
      <c r="AG16" s="41">
        <v>0</v>
      </c>
      <c r="AH16" s="40">
        <v>0</v>
      </c>
      <c r="AI16" s="40">
        <v>0</v>
      </c>
      <c r="AJ16" s="40">
        <v>0</v>
      </c>
      <c r="AK16" s="41">
        <v>0</v>
      </c>
      <c r="AL16" s="39">
        <v>0</v>
      </c>
      <c r="AM16" s="40">
        <v>0</v>
      </c>
      <c r="AN16" s="40">
        <v>0</v>
      </c>
      <c r="AO16" s="41">
        <v>0</v>
      </c>
      <c r="AP16" s="40">
        <v>0</v>
      </c>
      <c r="AQ16" s="40">
        <v>0</v>
      </c>
    </row>
    <row r="17" spans="1:43" s="9" customFormat="1" ht="12.75">
      <c r="A17" s="102" t="s">
        <v>74</v>
      </c>
      <c r="B17" s="39">
        <v>1.3</v>
      </c>
      <c r="C17" s="40">
        <v>3.6</v>
      </c>
      <c r="D17" s="40">
        <f>4.4-0.1</f>
        <v>4.300000000000001</v>
      </c>
      <c r="E17" s="40">
        <v>1.5</v>
      </c>
      <c r="F17" s="39">
        <v>1.9</v>
      </c>
      <c r="G17" s="40">
        <v>7.800000000000001</v>
      </c>
      <c r="H17" s="40">
        <v>5.2</v>
      </c>
      <c r="I17" s="41">
        <v>3.6999999999999997</v>
      </c>
      <c r="J17" s="39">
        <v>3.9</v>
      </c>
      <c r="K17" s="40">
        <v>9.1</v>
      </c>
      <c r="L17" s="40">
        <v>6.9</v>
      </c>
      <c r="M17" s="41">
        <v>3</v>
      </c>
      <c r="N17" s="39">
        <v>5.8</v>
      </c>
      <c r="O17" s="40">
        <v>3.9</v>
      </c>
      <c r="P17" s="40">
        <v>8.2</v>
      </c>
      <c r="Q17" s="41">
        <v>0.7</v>
      </c>
      <c r="R17" s="39">
        <v>4.6</v>
      </c>
      <c r="S17" s="40">
        <v>4.4</v>
      </c>
      <c r="T17" s="40">
        <v>5.7</v>
      </c>
      <c r="U17" s="41">
        <v>4.7</v>
      </c>
      <c r="V17" s="39">
        <f>3.8-0.4</f>
        <v>3.4</v>
      </c>
      <c r="W17" s="40">
        <f>7.2-0.3+1.2-0.8</f>
        <v>7.3</v>
      </c>
      <c r="X17" s="40">
        <f>5.1</f>
        <v>5.1</v>
      </c>
      <c r="Y17" s="41">
        <f>5.3</f>
        <v>5.3</v>
      </c>
      <c r="Z17" s="40">
        <f>5.8-1.8</f>
        <v>4</v>
      </c>
      <c r="AA17" s="40">
        <v>2.6</v>
      </c>
      <c r="AB17" s="40">
        <v>3.2</v>
      </c>
      <c r="AC17" s="41">
        <v>6.3</v>
      </c>
      <c r="AD17" s="40">
        <v>3.5</v>
      </c>
      <c r="AE17" s="40">
        <v>8</v>
      </c>
      <c r="AF17" s="40">
        <v>9.5</v>
      </c>
      <c r="AG17" s="41">
        <v>6.2</v>
      </c>
      <c r="AH17" s="40">
        <f>5.2-1</f>
        <v>4.2</v>
      </c>
      <c r="AI17" s="40">
        <v>5.3</v>
      </c>
      <c r="AJ17" s="40">
        <v>9.7</v>
      </c>
      <c r="AK17" s="41">
        <v>13.9</v>
      </c>
      <c r="AL17" s="39">
        <f>10.1-1.4</f>
        <v>8.7</v>
      </c>
      <c r="AM17" s="40">
        <f>9.3</f>
        <v>9.3</v>
      </c>
      <c r="AN17" s="40">
        <f>11.5</f>
        <v>11.5</v>
      </c>
      <c r="AO17" s="41">
        <f>12.4</f>
        <v>12.4</v>
      </c>
      <c r="AP17" s="40">
        <v>7.4</v>
      </c>
      <c r="AQ17" s="40">
        <v>10.3</v>
      </c>
    </row>
    <row r="18" spans="1:43" ht="12.75">
      <c r="A18" s="100" t="s">
        <v>257</v>
      </c>
      <c r="B18" s="46">
        <f aca="true" t="shared" si="0" ref="B18:AA18">SUM(B6:B17)</f>
        <v>239</v>
      </c>
      <c r="C18" s="47">
        <f t="shared" si="0"/>
        <v>248.50000000000003</v>
      </c>
      <c r="D18" s="47">
        <f t="shared" si="0"/>
        <v>251.79999999999995</v>
      </c>
      <c r="E18" s="47">
        <f t="shared" si="0"/>
        <v>241.49999999999997</v>
      </c>
      <c r="F18" s="46">
        <f t="shared" si="0"/>
        <v>228.79999999999995</v>
      </c>
      <c r="G18" s="47">
        <f t="shared" si="0"/>
        <v>235.70000000000002</v>
      </c>
      <c r="H18" s="47">
        <f t="shared" si="0"/>
        <v>244.7</v>
      </c>
      <c r="I18" s="48">
        <f t="shared" si="0"/>
        <v>268.49999999999994</v>
      </c>
      <c r="J18" s="46">
        <f t="shared" si="0"/>
        <v>255.99999999999997</v>
      </c>
      <c r="K18" s="47">
        <f t="shared" si="0"/>
        <v>274.6</v>
      </c>
      <c r="L18" s="47">
        <f t="shared" si="0"/>
        <v>278</v>
      </c>
      <c r="M18" s="48">
        <f t="shared" si="0"/>
        <v>275.5</v>
      </c>
      <c r="N18" s="46">
        <f t="shared" si="0"/>
        <v>264</v>
      </c>
      <c r="O18" s="47">
        <f t="shared" si="0"/>
        <v>277.49999999999994</v>
      </c>
      <c r="P18" s="47">
        <f t="shared" si="0"/>
        <v>286.8</v>
      </c>
      <c r="Q18" s="48">
        <f t="shared" si="0"/>
        <v>287.79999999999995</v>
      </c>
      <c r="R18" s="46">
        <f t="shared" si="0"/>
        <v>285.6</v>
      </c>
      <c r="S18" s="47">
        <f t="shared" si="0"/>
        <v>294.99999999999994</v>
      </c>
      <c r="T18" s="47">
        <f t="shared" si="0"/>
        <v>297.19999999999993</v>
      </c>
      <c r="U18" s="48">
        <f t="shared" si="0"/>
        <v>289.8999999999999</v>
      </c>
      <c r="V18" s="46">
        <f t="shared" si="0"/>
        <v>279.7</v>
      </c>
      <c r="W18" s="47">
        <f t="shared" si="0"/>
        <v>284.30000000000007</v>
      </c>
      <c r="X18" s="47">
        <f t="shared" si="0"/>
        <v>282.70000000000005</v>
      </c>
      <c r="Y18" s="48">
        <f t="shared" si="0"/>
        <v>290.7</v>
      </c>
      <c r="Z18" s="47">
        <f t="shared" si="0"/>
        <v>270.6</v>
      </c>
      <c r="AA18" s="47">
        <f t="shared" si="0"/>
        <v>282.8</v>
      </c>
      <c r="AB18" s="47">
        <f aca="true" t="shared" si="1" ref="AB18:AH18">SUM(AB6:AB17)</f>
        <v>265.70000000000005</v>
      </c>
      <c r="AC18" s="48">
        <f t="shared" si="1"/>
        <v>289.6</v>
      </c>
      <c r="AD18" s="47">
        <f t="shared" si="1"/>
        <v>296.49999999999994</v>
      </c>
      <c r="AE18" s="47">
        <f t="shared" si="1"/>
        <v>305.29999999999995</v>
      </c>
      <c r="AF18" s="47">
        <f t="shared" si="1"/>
        <v>285.50000000000006</v>
      </c>
      <c r="AG18" s="48">
        <f t="shared" si="1"/>
        <v>279.7</v>
      </c>
      <c r="AH18" s="47">
        <f t="shared" si="1"/>
        <v>275.7</v>
      </c>
      <c r="AI18" s="47">
        <f aca="true" t="shared" si="2" ref="AI18:AQ18">SUM(AI6:AI17)</f>
        <v>291</v>
      </c>
      <c r="AJ18" s="47">
        <f t="shared" si="2"/>
        <v>279.49999999999994</v>
      </c>
      <c r="AK18" s="48">
        <f t="shared" si="2"/>
        <v>286.29999999999995</v>
      </c>
      <c r="AL18" s="46">
        <f t="shared" si="2"/>
        <v>283.90000000000003</v>
      </c>
      <c r="AM18" s="47">
        <f t="shared" si="2"/>
        <v>294.40000000000003</v>
      </c>
      <c r="AN18" s="47">
        <f t="shared" si="2"/>
        <v>302.8</v>
      </c>
      <c r="AO18" s="48">
        <f t="shared" si="2"/>
        <v>320.20000000000005</v>
      </c>
      <c r="AP18" s="47">
        <f t="shared" si="2"/>
        <v>324.09999999999997</v>
      </c>
      <c r="AQ18" s="47">
        <f t="shared" si="2"/>
        <v>326.7</v>
      </c>
    </row>
    <row r="19" spans="1:43" ht="12.75">
      <c r="A19" s="102"/>
      <c r="B19" s="39"/>
      <c r="C19" s="40"/>
      <c r="D19" s="40"/>
      <c r="E19" s="40"/>
      <c r="F19" s="39"/>
      <c r="G19" s="40"/>
      <c r="H19" s="40"/>
      <c r="I19" s="41"/>
      <c r="J19" s="39"/>
      <c r="K19" s="40"/>
      <c r="L19" s="40"/>
      <c r="M19" s="41"/>
      <c r="N19" s="39"/>
      <c r="O19" s="40"/>
      <c r="P19" s="40"/>
      <c r="Q19" s="41"/>
      <c r="R19" s="39"/>
      <c r="S19" s="40"/>
      <c r="T19" s="40"/>
      <c r="U19" s="41"/>
      <c r="V19" s="39"/>
      <c r="W19" s="40"/>
      <c r="X19" s="40"/>
      <c r="Y19" s="41"/>
      <c r="Z19" s="40"/>
      <c r="AA19" s="40"/>
      <c r="AB19" s="40"/>
      <c r="AC19" s="41"/>
      <c r="AD19" s="40"/>
      <c r="AE19" s="40"/>
      <c r="AF19" s="40"/>
      <c r="AG19" s="41"/>
      <c r="AH19" s="40"/>
      <c r="AI19" s="40"/>
      <c r="AJ19" s="40"/>
      <c r="AK19" s="41"/>
      <c r="AL19" s="46"/>
      <c r="AM19" s="40"/>
      <c r="AN19" s="40"/>
      <c r="AO19" s="41"/>
      <c r="AP19" s="47"/>
      <c r="AQ19" s="40"/>
    </row>
    <row r="20" spans="1:43" ht="12.75">
      <c r="A20" s="100" t="s">
        <v>337</v>
      </c>
      <c r="B20" s="46">
        <f>16.7-1</f>
        <v>15.7</v>
      </c>
      <c r="C20" s="47">
        <f>15.2-1</f>
        <v>14.2</v>
      </c>
      <c r="D20" s="47">
        <f>21.1-1</f>
        <v>20.1</v>
      </c>
      <c r="E20" s="47">
        <f>29-1</f>
        <v>28</v>
      </c>
      <c r="F20" s="46">
        <f>22.1-1.2</f>
        <v>20.900000000000002</v>
      </c>
      <c r="G20" s="47">
        <f>19.9-1.2</f>
        <v>18.7</v>
      </c>
      <c r="H20" s="47">
        <f>16.4-1.2</f>
        <v>15.2</v>
      </c>
      <c r="I20" s="48">
        <f>29.6-1.2</f>
        <v>28.400000000000002</v>
      </c>
      <c r="J20" s="46">
        <f>22.1-4.1-0.1</f>
        <v>17.9</v>
      </c>
      <c r="K20" s="47">
        <f>25.4-4.1-0.7</f>
        <v>20.599999999999998</v>
      </c>
      <c r="L20" s="47">
        <f>25-4.1</f>
        <v>20.9</v>
      </c>
      <c r="M20" s="48">
        <f>48.2-4.1-0.2</f>
        <v>43.9</v>
      </c>
      <c r="N20" s="46">
        <f>35.6-3.9-0.1</f>
        <v>31.6</v>
      </c>
      <c r="O20" s="47">
        <f>30.7-3.9-0.1</f>
        <v>26.7</v>
      </c>
      <c r="P20" s="47">
        <f>31.6-3.9-0.3-0.1</f>
        <v>27.3</v>
      </c>
      <c r="Q20" s="48">
        <f>31.9-3.9-0.2-0.2</f>
        <v>27.6</v>
      </c>
      <c r="R20" s="46">
        <f>34.5-9.1-0.1-0.2</f>
        <v>25.099999999999998</v>
      </c>
      <c r="S20" s="47">
        <f>37.3-9.1-0.5-0.2</f>
        <v>27.499999999999996</v>
      </c>
      <c r="T20" s="47">
        <f>36.3-9.1-0.3-0.2</f>
        <v>26.699999999999996</v>
      </c>
      <c r="U20" s="48">
        <f>40.8-9.1-0.7-0.2</f>
        <v>30.799999999999997</v>
      </c>
      <c r="V20" s="46">
        <f>33.7-11-0.4-0.3-0.3</f>
        <v>21.700000000000003</v>
      </c>
      <c r="W20" s="47">
        <f>35-11-0.4-0.4-0.3</f>
        <v>22.900000000000002</v>
      </c>
      <c r="X20" s="47">
        <f>32.6-11-0.4-0.4-0.3</f>
        <v>20.500000000000004</v>
      </c>
      <c r="Y20" s="48">
        <f>36.9-11-1.6-0.3</f>
        <v>23.999999999999996</v>
      </c>
      <c r="Z20" s="47">
        <f>31.5-11.3-0.3-0.1-0.3</f>
        <v>19.499999999999996</v>
      </c>
      <c r="AA20" s="47">
        <f>33.8-11.4-0.2-0.1-0.3</f>
        <v>21.799999999999997</v>
      </c>
      <c r="AB20" s="47">
        <f>33.6-11.3-0.3-1-0.3</f>
        <v>20.7</v>
      </c>
      <c r="AC20" s="48">
        <f>38.7-11.3-0.5-1.8-0.3</f>
        <v>24.8</v>
      </c>
      <c r="AD20" s="47">
        <f>21.6-0.9-0.3</f>
        <v>20.400000000000002</v>
      </c>
      <c r="AE20" s="47">
        <f>26.2-0.2-0.3</f>
        <v>25.7</v>
      </c>
      <c r="AF20" s="47">
        <f>28.1-0.6-0.3</f>
        <v>27.2</v>
      </c>
      <c r="AG20" s="48">
        <f>31.1-0.3</f>
        <v>30.8</v>
      </c>
      <c r="AH20" s="47">
        <f>27-0.3-1</f>
        <v>25.7</v>
      </c>
      <c r="AI20" s="47">
        <f>27.8-0.3</f>
        <v>27.5</v>
      </c>
      <c r="AJ20" s="47">
        <f>30.9-0.3</f>
        <v>30.599999999999998</v>
      </c>
      <c r="AK20" s="48">
        <f>31.8-0.3</f>
        <v>31.5</v>
      </c>
      <c r="AL20" s="46">
        <f>31.7-0.3-1.4</f>
        <v>30</v>
      </c>
      <c r="AM20" s="47">
        <f>36.6-0.3</f>
        <v>36.300000000000004</v>
      </c>
      <c r="AN20" s="47">
        <f>33.8-0.3</f>
        <v>33.5</v>
      </c>
      <c r="AO20" s="48">
        <f>37-0.3</f>
        <v>36.7</v>
      </c>
      <c r="AP20" s="47">
        <v>34.5</v>
      </c>
      <c r="AQ20" s="47">
        <v>35.4</v>
      </c>
    </row>
    <row r="21" spans="1:43" ht="12.75">
      <c r="A21" s="102" t="s">
        <v>90</v>
      </c>
      <c r="B21" s="39">
        <f>1-1</f>
        <v>0</v>
      </c>
      <c r="C21" s="40">
        <f>1-1</f>
        <v>0</v>
      </c>
      <c r="D21" s="40">
        <f>1-1</f>
        <v>0</v>
      </c>
      <c r="E21" s="40">
        <f>1-1</f>
        <v>0</v>
      </c>
      <c r="F21" s="39">
        <f>1.2-1.2</f>
        <v>0</v>
      </c>
      <c r="G21" s="40">
        <f>1.2-1.2</f>
        <v>0</v>
      </c>
      <c r="H21" s="40">
        <f>1.2-1.2</f>
        <v>0</v>
      </c>
      <c r="I21" s="41">
        <f>1.2-1.2</f>
        <v>0</v>
      </c>
      <c r="J21" s="39">
        <f>4.1-4.1</f>
        <v>0</v>
      </c>
      <c r="K21" s="40">
        <f>4.1-4.1</f>
        <v>0</v>
      </c>
      <c r="L21" s="40">
        <f>4.1-4.1</f>
        <v>0</v>
      </c>
      <c r="M21" s="41">
        <f>4.1-4.1</f>
        <v>0</v>
      </c>
      <c r="N21" s="39">
        <f>3.9-3.9</f>
        <v>0</v>
      </c>
      <c r="O21" s="40">
        <f>3.9-3.9</f>
        <v>0</v>
      </c>
      <c r="P21" s="40">
        <f>3.9-3.9</f>
        <v>0</v>
      </c>
      <c r="Q21" s="41">
        <f>3.9-3.9</f>
        <v>0</v>
      </c>
      <c r="R21" s="39">
        <f>9.1-9.1</f>
        <v>0</v>
      </c>
      <c r="S21" s="40">
        <f>9.1-9.1</f>
        <v>0</v>
      </c>
      <c r="T21" s="40">
        <f>9.1-9.1</f>
        <v>0</v>
      </c>
      <c r="U21" s="41">
        <f>9.1-9.1</f>
        <v>0</v>
      </c>
      <c r="V21" s="39">
        <f>11-11</f>
        <v>0</v>
      </c>
      <c r="W21" s="40">
        <f>11-11</f>
        <v>0</v>
      </c>
      <c r="X21" s="40">
        <f>11-11</f>
        <v>0</v>
      </c>
      <c r="Y21" s="41">
        <f>11-11</f>
        <v>0</v>
      </c>
      <c r="Z21" s="40">
        <f>11.3-11.3</f>
        <v>0</v>
      </c>
      <c r="AA21" s="40">
        <f>11.4-11.4</f>
        <v>0</v>
      </c>
      <c r="AB21" s="40">
        <f>11.3-11.3</f>
        <v>0</v>
      </c>
      <c r="AC21" s="41">
        <f>11.3-11.3</f>
        <v>0</v>
      </c>
      <c r="AD21" s="40">
        <v>0</v>
      </c>
      <c r="AE21" s="40">
        <v>0</v>
      </c>
      <c r="AF21" s="40">
        <v>0</v>
      </c>
      <c r="AG21" s="41">
        <v>0</v>
      </c>
      <c r="AH21" s="40">
        <v>0</v>
      </c>
      <c r="AI21" s="40">
        <v>0</v>
      </c>
      <c r="AJ21" s="40">
        <v>0</v>
      </c>
      <c r="AK21" s="41">
        <v>0</v>
      </c>
      <c r="AL21" s="39">
        <v>0</v>
      </c>
      <c r="AM21" s="40">
        <v>0</v>
      </c>
      <c r="AN21" s="40">
        <v>0</v>
      </c>
      <c r="AO21" s="41">
        <v>0</v>
      </c>
      <c r="AP21" s="40">
        <v>0</v>
      </c>
      <c r="AQ21" s="40">
        <v>0</v>
      </c>
    </row>
    <row r="22" spans="1:43" ht="12.75">
      <c r="A22" s="103"/>
      <c r="B22" s="39"/>
      <c r="C22" s="40"/>
      <c r="D22" s="40"/>
      <c r="E22" s="40"/>
      <c r="F22" s="39"/>
      <c r="G22" s="40"/>
      <c r="H22" s="40"/>
      <c r="I22" s="41"/>
      <c r="J22" s="39"/>
      <c r="K22" s="40"/>
      <c r="L22" s="40"/>
      <c r="M22" s="41"/>
      <c r="N22" s="39"/>
      <c r="O22" s="40"/>
      <c r="P22" s="40"/>
      <c r="Q22" s="41"/>
      <c r="R22" s="39"/>
      <c r="S22" s="40"/>
      <c r="T22" s="40"/>
      <c r="U22" s="41"/>
      <c r="V22" s="39"/>
      <c r="W22" s="40"/>
      <c r="X22" s="40"/>
      <c r="Y22" s="41"/>
      <c r="Z22" s="40"/>
      <c r="AA22" s="40"/>
      <c r="AB22" s="40"/>
      <c r="AC22" s="41"/>
      <c r="AD22" s="40"/>
      <c r="AE22" s="40"/>
      <c r="AF22" s="40"/>
      <c r="AG22" s="41"/>
      <c r="AH22" s="40"/>
      <c r="AI22" s="40"/>
      <c r="AJ22" s="40"/>
      <c r="AK22" s="41"/>
      <c r="AL22" s="39"/>
      <c r="AM22" s="40"/>
      <c r="AN22" s="40"/>
      <c r="AO22" s="41"/>
      <c r="AP22" s="40"/>
      <c r="AQ22" s="40"/>
    </row>
    <row r="23" spans="1:43" s="13" customFormat="1" ht="12.75">
      <c r="A23" s="104" t="s">
        <v>11</v>
      </c>
      <c r="B23" s="93">
        <f>B18-B20</f>
        <v>223.3</v>
      </c>
      <c r="C23" s="94">
        <f aca="true" t="shared" si="3" ref="C23:V23">C18-C20</f>
        <v>234.30000000000004</v>
      </c>
      <c r="D23" s="94">
        <f>D18-D20</f>
        <v>231.69999999999996</v>
      </c>
      <c r="E23" s="94">
        <f t="shared" si="3"/>
        <v>213.49999999999997</v>
      </c>
      <c r="F23" s="93">
        <f t="shared" si="3"/>
        <v>207.89999999999995</v>
      </c>
      <c r="G23" s="94">
        <f t="shared" si="3"/>
        <v>217.00000000000003</v>
      </c>
      <c r="H23" s="94">
        <f t="shared" si="3"/>
        <v>229.5</v>
      </c>
      <c r="I23" s="95">
        <f t="shared" si="3"/>
        <v>240.09999999999994</v>
      </c>
      <c r="J23" s="93">
        <f t="shared" si="3"/>
        <v>238.09999999999997</v>
      </c>
      <c r="K23" s="94">
        <f t="shared" si="3"/>
        <v>254.00000000000003</v>
      </c>
      <c r="L23" s="94">
        <f t="shared" si="3"/>
        <v>257.1</v>
      </c>
      <c r="M23" s="95">
        <f t="shared" si="3"/>
        <v>231.6</v>
      </c>
      <c r="N23" s="93">
        <f t="shared" si="3"/>
        <v>232.4</v>
      </c>
      <c r="O23" s="94">
        <f t="shared" si="3"/>
        <v>250.79999999999995</v>
      </c>
      <c r="P23" s="94">
        <f t="shared" si="3"/>
        <v>259.5</v>
      </c>
      <c r="Q23" s="95">
        <f t="shared" si="3"/>
        <v>260.19999999999993</v>
      </c>
      <c r="R23" s="93">
        <f t="shared" si="3"/>
        <v>260.5</v>
      </c>
      <c r="S23" s="94">
        <f t="shared" si="3"/>
        <v>267.49999999999994</v>
      </c>
      <c r="T23" s="94">
        <f t="shared" si="3"/>
        <v>270.49999999999994</v>
      </c>
      <c r="U23" s="95">
        <f t="shared" si="3"/>
        <v>259.0999999999999</v>
      </c>
      <c r="V23" s="93">
        <f t="shared" si="3"/>
        <v>258</v>
      </c>
      <c r="W23" s="94">
        <f aca="true" t="shared" si="4" ref="W23:AH23">W18-W20</f>
        <v>261.4000000000001</v>
      </c>
      <c r="X23" s="94">
        <f t="shared" si="4"/>
        <v>262.20000000000005</v>
      </c>
      <c r="Y23" s="95">
        <f t="shared" si="4"/>
        <v>266.7</v>
      </c>
      <c r="Z23" s="93">
        <f t="shared" si="4"/>
        <v>251.10000000000002</v>
      </c>
      <c r="AA23" s="94">
        <f t="shared" si="4"/>
        <v>261</v>
      </c>
      <c r="AB23" s="94">
        <f t="shared" si="4"/>
        <v>245.00000000000006</v>
      </c>
      <c r="AC23" s="95">
        <f t="shared" si="4"/>
        <v>264.8</v>
      </c>
      <c r="AD23" s="93">
        <f t="shared" si="4"/>
        <v>276.09999999999997</v>
      </c>
      <c r="AE23" s="94">
        <f t="shared" si="4"/>
        <v>279.59999999999997</v>
      </c>
      <c r="AF23" s="94">
        <f t="shared" si="4"/>
        <v>258.30000000000007</v>
      </c>
      <c r="AG23" s="95">
        <f t="shared" si="4"/>
        <v>248.89999999999998</v>
      </c>
      <c r="AH23" s="93">
        <f t="shared" si="4"/>
        <v>250</v>
      </c>
      <c r="AI23" s="94">
        <f aca="true" t="shared" si="5" ref="AI23:AQ23">AI18-AI20</f>
        <v>263.5</v>
      </c>
      <c r="AJ23" s="94">
        <f t="shared" si="5"/>
        <v>248.89999999999995</v>
      </c>
      <c r="AK23" s="95">
        <f t="shared" si="5"/>
        <v>254.79999999999995</v>
      </c>
      <c r="AL23" s="93">
        <f t="shared" si="5"/>
        <v>253.90000000000003</v>
      </c>
      <c r="AM23" s="94">
        <f t="shared" si="5"/>
        <v>258.1</v>
      </c>
      <c r="AN23" s="94">
        <f t="shared" si="5"/>
        <v>269.3</v>
      </c>
      <c r="AO23" s="95">
        <f t="shared" si="5"/>
        <v>283.50000000000006</v>
      </c>
      <c r="AP23" s="94">
        <f t="shared" si="5"/>
        <v>289.59999999999997</v>
      </c>
      <c r="AQ23" s="94">
        <f t="shared" si="5"/>
        <v>291.3</v>
      </c>
    </row>
    <row r="24" ht="12.75">
      <c r="A24" s="3"/>
    </row>
    <row r="25" spans="1:43" ht="12.75">
      <c r="A25" s="3"/>
      <c r="Z25" s="96"/>
      <c r="AA25" s="96"/>
      <c r="AB25" s="96"/>
      <c r="AC25" s="96"/>
      <c r="AD25" s="96"/>
      <c r="AE25" s="96"/>
      <c r="AF25" s="96"/>
      <c r="AG25" s="96"/>
      <c r="AH25" s="96"/>
      <c r="AI25" s="96"/>
      <c r="AJ25" s="96"/>
      <c r="AK25" s="96"/>
      <c r="AL25" s="96"/>
      <c r="AM25" s="96"/>
      <c r="AN25" s="96"/>
      <c r="AO25" s="96"/>
      <c r="AP25" s="96"/>
      <c r="AQ25" s="96"/>
    </row>
    <row r="26" spans="1:43" ht="12.75">
      <c r="A26" s="3"/>
      <c r="Z26" s="96"/>
      <c r="AA26" s="96"/>
      <c r="AB26" s="96"/>
      <c r="AC26" s="96"/>
      <c r="AD26" s="96"/>
      <c r="AE26" s="96"/>
      <c r="AF26" s="96"/>
      <c r="AG26" s="96"/>
      <c r="AH26" s="96"/>
      <c r="AI26" s="96"/>
      <c r="AJ26" s="96"/>
      <c r="AK26" s="96"/>
      <c r="AL26" s="96"/>
      <c r="AM26" s="96"/>
      <c r="AN26" s="96"/>
      <c r="AO26" s="96"/>
      <c r="AP26" s="96"/>
      <c r="AQ26" s="96"/>
    </row>
    <row r="27" spans="2:43" s="25" customFormat="1" ht="11.25">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250"/>
      <c r="AA27" s="250"/>
      <c r="AB27" s="250"/>
      <c r="AC27" s="250"/>
      <c r="AD27" s="250"/>
      <c r="AE27" s="250"/>
      <c r="AF27" s="250"/>
      <c r="AG27" s="250"/>
      <c r="AH27" s="250"/>
      <c r="AI27" s="250"/>
      <c r="AJ27" s="250"/>
      <c r="AK27" s="250"/>
      <c r="AL27" s="250"/>
      <c r="AM27" s="250"/>
      <c r="AN27" s="250"/>
      <c r="AO27" s="250"/>
      <c r="AP27" s="250"/>
      <c r="AQ27" s="250"/>
    </row>
    <row r="28" spans="1:43" ht="12.75">
      <c r="A28" s="3"/>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row>
    <row r="29" spans="1:30" ht="12.75">
      <c r="A29" s="3"/>
      <c r="Y29" s="320"/>
      <c r="Z29" s="320"/>
      <c r="AA29" s="320"/>
      <c r="AB29" s="320"/>
      <c r="AC29" s="320"/>
      <c r="AD29" s="320"/>
    </row>
    <row r="30" spans="1:30" ht="12.75">
      <c r="A30" s="3"/>
      <c r="Y30" s="320"/>
      <c r="Z30" s="320"/>
      <c r="AA30" s="320"/>
      <c r="AB30" s="320"/>
      <c r="AC30" s="320"/>
      <c r="AD30" s="320"/>
    </row>
    <row r="31" spans="1:30" ht="12.75">
      <c r="A31" s="3"/>
      <c r="Y31" s="320"/>
      <c r="Z31" s="320"/>
      <c r="AA31" s="320"/>
      <c r="AB31" s="320"/>
      <c r="AC31" s="320"/>
      <c r="AD31" s="320"/>
    </row>
    <row r="32" ht="12.75">
      <c r="A32" s="3"/>
    </row>
    <row r="33" ht="12.75">
      <c r="A33" s="3"/>
    </row>
    <row r="34" ht="12.75">
      <c r="A34" s="3"/>
    </row>
    <row r="35" ht="12.75">
      <c r="A35" s="3"/>
    </row>
    <row r="36" ht="12.75">
      <c r="A36" s="3"/>
    </row>
    <row r="37" ht="12.75">
      <c r="A37" s="3"/>
    </row>
  </sheetData>
  <sheetProtection/>
  <mergeCells count="12">
    <mergeCell ref="AH2:AK2"/>
    <mergeCell ref="AL2:AO2"/>
    <mergeCell ref="A2:A3"/>
    <mergeCell ref="B2:E2"/>
    <mergeCell ref="F2:I2"/>
    <mergeCell ref="J2:M2"/>
    <mergeCell ref="N2:Q2"/>
    <mergeCell ref="AP2:A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54" r:id="rId1"/>
  <headerFooter alignWithMargins="0">
    <oddHeader>&amp;C&amp;"Times New Roman,Kursywa"&amp;12
</oddHeader>
  </headerFooter>
  <ignoredErrors>
    <ignoredError sqref="AA21" formula="1"/>
  </ignoredErrors>
</worksheet>
</file>

<file path=xl/worksheets/sheet7.xml><?xml version="1.0" encoding="utf-8"?>
<worksheet xmlns="http://schemas.openxmlformats.org/spreadsheetml/2006/main" xmlns:r="http://schemas.openxmlformats.org/officeDocument/2006/relationships">
  <dimension ref="A1:AS39"/>
  <sheetViews>
    <sheetView showGridLines="0" view="pageBreakPreview" zoomScaleSheetLayoutView="100" zoomScalePageLayoutView="80" workbookViewId="0" topLeftCell="A1">
      <pane xSplit="1" ySplit="3" topLeftCell="R4" activePane="bottomRight" state="frozen"/>
      <selection pane="topLeft" activeCell="B2" sqref="B2:B3"/>
      <selection pane="topRight" activeCell="B2" sqref="B2:B3"/>
      <selection pane="bottomLeft" activeCell="B2" sqref="B2:B3"/>
      <selection pane="bottomRight" activeCell="AD18" sqref="AD18"/>
    </sheetView>
  </sheetViews>
  <sheetFormatPr defaultColWidth="8.875" defaultRowHeight="12.75"/>
  <cols>
    <col min="1" max="1" width="54.125" style="2" customWidth="1"/>
    <col min="2" max="3" width="4.625" style="3" customWidth="1"/>
    <col min="4" max="7" width="5.375" style="3" customWidth="1"/>
    <col min="8" max="9" width="6.00390625" style="3" customWidth="1"/>
    <col min="10" max="10" width="6.75390625" style="3" customWidth="1"/>
    <col min="11" max="14" width="6.00390625" style="3" customWidth="1"/>
    <col min="15" max="15" width="5.375" style="3" customWidth="1"/>
    <col min="16" max="18" width="6.00390625" style="3" customWidth="1"/>
    <col min="19" max="19" width="5.375" style="3" customWidth="1"/>
    <col min="20" max="20" width="6.00390625" style="3" customWidth="1"/>
    <col min="21" max="21" width="5.125" style="3" customWidth="1"/>
    <col min="22" max="23" width="6.00390625" style="3" customWidth="1"/>
    <col min="24" max="24" width="5.125" style="3" customWidth="1"/>
    <col min="25" max="25" width="4.625" style="3" customWidth="1"/>
    <col min="26" max="26" width="5.125" style="3" bestFit="1" customWidth="1"/>
    <col min="27" max="27" width="5.375" style="3" bestFit="1" customWidth="1"/>
    <col min="28" max="31" width="4.625" style="3" bestFit="1" customWidth="1"/>
    <col min="32" max="32" width="5.125" style="3" bestFit="1" customWidth="1"/>
    <col min="33" max="33" width="4.625" style="3" bestFit="1" customWidth="1"/>
    <col min="34" max="34" width="5.125" style="3" bestFit="1" customWidth="1"/>
    <col min="35" max="35" width="5.375" style="3" bestFit="1" customWidth="1"/>
    <col min="36" max="37" width="5.375" style="3" customWidth="1"/>
    <col min="38" max="40" width="5.375" style="3" bestFit="1" customWidth="1"/>
    <col min="41" max="41" width="5.375" style="3" customWidth="1"/>
    <col min="42" max="42" width="5.375" style="3" bestFit="1" customWidth="1"/>
    <col min="43" max="43" width="5.375" style="3" customWidth="1"/>
    <col min="44" max="16384" width="8.875" style="3" customWidth="1"/>
  </cols>
  <sheetData>
    <row r="1" spans="1:25" ht="12.75">
      <c r="A1" s="246" t="s">
        <v>281</v>
      </c>
      <c r="W1" s="4"/>
      <c r="X1" s="4"/>
      <c r="Y1" s="4"/>
    </row>
    <row r="2" spans="1:45" ht="12.75" customHeight="1">
      <c r="A2" s="332" t="s">
        <v>110</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34">
        <v>2014</v>
      </c>
      <c r="AE2" s="335"/>
      <c r="AF2" s="335"/>
      <c r="AG2" s="337"/>
      <c r="AH2" s="334">
        <v>2015</v>
      </c>
      <c r="AI2" s="335"/>
      <c r="AJ2" s="335"/>
      <c r="AK2" s="335"/>
      <c r="AL2" s="334">
        <v>2016</v>
      </c>
      <c r="AM2" s="335"/>
      <c r="AN2" s="335"/>
      <c r="AO2" s="336"/>
      <c r="AP2" s="334">
        <v>2017</v>
      </c>
      <c r="AQ2" s="351"/>
      <c r="AR2" s="325"/>
      <c r="AS2" s="325"/>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5" t="s">
        <v>0</v>
      </c>
      <c r="AA3" s="35" t="s">
        <v>1</v>
      </c>
      <c r="AB3" s="35" t="s">
        <v>2</v>
      </c>
      <c r="AC3" s="36" t="s">
        <v>3</v>
      </c>
      <c r="AD3" s="35" t="s">
        <v>0</v>
      </c>
      <c r="AE3" s="35" t="s">
        <v>1</v>
      </c>
      <c r="AF3" s="35" t="s">
        <v>2</v>
      </c>
      <c r="AG3" s="36" t="s">
        <v>3</v>
      </c>
      <c r="AH3" s="35" t="s">
        <v>0</v>
      </c>
      <c r="AI3" s="35" t="s">
        <v>1</v>
      </c>
      <c r="AJ3" s="35" t="s">
        <v>2</v>
      </c>
      <c r="AK3" s="35" t="s">
        <v>3</v>
      </c>
      <c r="AL3" s="34" t="s">
        <v>0</v>
      </c>
      <c r="AM3" s="35" t="s">
        <v>1</v>
      </c>
      <c r="AN3" s="35" t="s">
        <v>2</v>
      </c>
      <c r="AO3" s="36" t="s">
        <v>3</v>
      </c>
      <c r="AP3" s="35" t="s">
        <v>0</v>
      </c>
      <c r="AQ3" s="35" t="s">
        <v>1</v>
      </c>
    </row>
    <row r="4" spans="1:43" s="4" customFormat="1" ht="12.75" customHeight="1">
      <c r="A4" s="20" t="s">
        <v>5</v>
      </c>
      <c r="B4" s="16"/>
      <c r="C4" s="6"/>
      <c r="D4" s="5"/>
      <c r="E4" s="6"/>
      <c r="F4" s="16"/>
      <c r="G4" s="6"/>
      <c r="H4" s="5"/>
      <c r="I4" s="17"/>
      <c r="J4" s="16"/>
      <c r="K4" s="6"/>
      <c r="L4" s="5"/>
      <c r="M4" s="17"/>
      <c r="N4" s="16"/>
      <c r="O4" s="6"/>
      <c r="P4" s="5"/>
      <c r="Q4" s="17"/>
      <c r="R4" s="16"/>
      <c r="S4" s="6"/>
      <c r="T4" s="5"/>
      <c r="U4" s="17"/>
      <c r="V4" s="5"/>
      <c r="W4" s="5"/>
      <c r="X4" s="5"/>
      <c r="Y4" s="18"/>
      <c r="Z4" s="5"/>
      <c r="AA4" s="5"/>
      <c r="AB4" s="5"/>
      <c r="AC4" s="18"/>
      <c r="AD4" s="5"/>
      <c r="AE4" s="5"/>
      <c r="AF4" s="5"/>
      <c r="AG4" s="18"/>
      <c r="AH4" s="5"/>
      <c r="AI4" s="5"/>
      <c r="AJ4" s="5"/>
      <c r="AK4" s="5"/>
      <c r="AL4" s="16"/>
      <c r="AM4" s="5"/>
      <c r="AN4" s="5"/>
      <c r="AO4" s="18"/>
      <c r="AP4" s="5"/>
      <c r="AQ4" s="5"/>
    </row>
    <row r="5" spans="1:43" s="7" customFormat="1" ht="22.5">
      <c r="A5" s="88" t="s">
        <v>91</v>
      </c>
      <c r="B5" s="46">
        <f>B6+B7+B8</f>
        <v>39.3</v>
      </c>
      <c r="C5" s="47">
        <f aca="true" t="shared" si="0" ref="C5:W5">C6+C7+C8</f>
        <v>-12.199999999999996</v>
      </c>
      <c r="D5" s="47">
        <f t="shared" si="0"/>
        <v>184.1</v>
      </c>
      <c r="E5" s="47">
        <f t="shared" si="0"/>
        <v>207.50000000000003</v>
      </c>
      <c r="F5" s="46">
        <f t="shared" si="0"/>
        <v>214.8</v>
      </c>
      <c r="G5" s="47">
        <f t="shared" si="0"/>
        <v>-101.3</v>
      </c>
      <c r="H5" s="47">
        <f t="shared" si="0"/>
        <v>-415.3</v>
      </c>
      <c r="I5" s="48">
        <f t="shared" si="0"/>
        <v>230.7</v>
      </c>
      <c r="J5" s="46">
        <f t="shared" si="0"/>
        <v>2813.3000000000006</v>
      </c>
      <c r="K5" s="47">
        <f t="shared" si="0"/>
        <v>-642.3</v>
      </c>
      <c r="L5" s="47">
        <f t="shared" si="0"/>
        <v>-419</v>
      </c>
      <c r="M5" s="48">
        <f t="shared" si="0"/>
        <v>-275.99999999999994</v>
      </c>
      <c r="N5" s="46">
        <f t="shared" si="0"/>
        <v>-207.2</v>
      </c>
      <c r="O5" s="47">
        <f t="shared" si="0"/>
        <v>207.39999999999998</v>
      </c>
      <c r="P5" s="47">
        <f t="shared" si="0"/>
        <v>-135.20000000000002</v>
      </c>
      <c r="Q5" s="48">
        <f t="shared" si="0"/>
        <v>-201.20000000000002</v>
      </c>
      <c r="R5" s="46">
        <f t="shared" si="0"/>
        <v>-157.20000000000002</v>
      </c>
      <c r="S5" s="47">
        <f t="shared" si="0"/>
        <v>114.19999999999999</v>
      </c>
      <c r="T5" s="47">
        <f t="shared" si="0"/>
        <v>-120.49999999999999</v>
      </c>
      <c r="U5" s="48">
        <f t="shared" si="0"/>
        <v>34.400000000000006</v>
      </c>
      <c r="V5" s="47">
        <f t="shared" si="0"/>
        <v>-82.60000000000001</v>
      </c>
      <c r="W5" s="47">
        <f t="shared" si="0"/>
        <v>-209.00000000000003</v>
      </c>
      <c r="X5" s="47">
        <f aca="true" t="shared" si="1" ref="X5:AH5">X6+X7+X8</f>
        <v>-39.300000000000004</v>
      </c>
      <c r="Y5" s="48">
        <f t="shared" si="1"/>
        <v>19</v>
      </c>
      <c r="Z5" s="47">
        <f t="shared" si="1"/>
        <v>-75.3</v>
      </c>
      <c r="AA5" s="47">
        <f t="shared" si="1"/>
        <v>60.699999999999996</v>
      </c>
      <c r="AB5" s="47">
        <f t="shared" si="1"/>
        <v>70.2</v>
      </c>
      <c r="AC5" s="48">
        <f t="shared" si="1"/>
        <v>32.5</v>
      </c>
      <c r="AD5" s="47">
        <f t="shared" si="1"/>
        <v>15.799999999999999</v>
      </c>
      <c r="AE5" s="47">
        <f t="shared" si="1"/>
        <v>61.5</v>
      </c>
      <c r="AF5" s="47">
        <f t="shared" si="1"/>
        <v>-34.300000000000004</v>
      </c>
      <c r="AG5" s="48">
        <f t="shared" si="1"/>
        <v>33.7</v>
      </c>
      <c r="AH5" s="47">
        <f t="shared" si="1"/>
        <v>-4.2</v>
      </c>
      <c r="AI5" s="47">
        <f aca="true" t="shared" si="2" ref="AI5:AQ5">AI6+AI7+AI8</f>
        <v>29.4</v>
      </c>
      <c r="AJ5" s="47">
        <f t="shared" si="2"/>
        <v>3.4</v>
      </c>
      <c r="AK5" s="47">
        <f t="shared" si="2"/>
        <v>-30.999999999999996</v>
      </c>
      <c r="AL5" s="46">
        <f t="shared" si="2"/>
        <v>117</v>
      </c>
      <c r="AM5" s="47">
        <f t="shared" si="2"/>
        <v>49.199999999999996</v>
      </c>
      <c r="AN5" s="47">
        <f t="shared" si="2"/>
        <v>-52</v>
      </c>
      <c r="AO5" s="48">
        <f t="shared" si="2"/>
        <v>-86.7</v>
      </c>
      <c r="AP5" s="47">
        <f t="shared" si="2"/>
        <v>59.8</v>
      </c>
      <c r="AQ5" s="47">
        <f t="shared" si="2"/>
        <v>-27.7</v>
      </c>
    </row>
    <row r="6" spans="1:43" s="7" customFormat="1" ht="12.75">
      <c r="A6" s="38" t="s">
        <v>92</v>
      </c>
      <c r="B6" s="39">
        <v>-0.7</v>
      </c>
      <c r="C6" s="40">
        <v>2.1</v>
      </c>
      <c r="D6" s="40">
        <v>0.2</v>
      </c>
      <c r="E6" s="40">
        <v>-4.6</v>
      </c>
      <c r="F6" s="39">
        <v>-9.2</v>
      </c>
      <c r="G6" s="40">
        <v>-1.3</v>
      </c>
      <c r="H6" s="40">
        <v>-1.8</v>
      </c>
      <c r="I6" s="41">
        <v>-6.7</v>
      </c>
      <c r="J6" s="39">
        <v>-0.7</v>
      </c>
      <c r="K6" s="40">
        <v>2.8</v>
      </c>
      <c r="L6" s="40">
        <v>4.9</v>
      </c>
      <c r="M6" s="41">
        <v>-0.5</v>
      </c>
      <c r="N6" s="39">
        <v>0</v>
      </c>
      <c r="O6" s="40">
        <v>-0.3</v>
      </c>
      <c r="P6" s="40">
        <v>1.9</v>
      </c>
      <c r="Q6" s="41">
        <v>0</v>
      </c>
      <c r="R6" s="39">
        <v>-1</v>
      </c>
      <c r="S6" s="40">
        <v>-0.2</v>
      </c>
      <c r="T6" s="40">
        <v>-3.5</v>
      </c>
      <c r="U6" s="41">
        <v>0.6</v>
      </c>
      <c r="V6" s="40">
        <v>0</v>
      </c>
      <c r="W6" s="40">
        <v>0</v>
      </c>
      <c r="X6" s="40">
        <v>0</v>
      </c>
      <c r="Y6" s="41">
        <v>0</v>
      </c>
      <c r="Z6" s="40">
        <v>0</v>
      </c>
      <c r="AA6" s="40">
        <v>0</v>
      </c>
      <c r="AB6" s="40">
        <v>0</v>
      </c>
      <c r="AC6" s="41">
        <v>0</v>
      </c>
      <c r="AD6" s="40">
        <v>0</v>
      </c>
      <c r="AE6" s="40">
        <v>0</v>
      </c>
      <c r="AF6" s="40">
        <v>0</v>
      </c>
      <c r="AG6" s="41">
        <v>0</v>
      </c>
      <c r="AH6" s="40">
        <v>0</v>
      </c>
      <c r="AI6" s="40">
        <v>0</v>
      </c>
      <c r="AJ6" s="40">
        <v>0</v>
      </c>
      <c r="AK6" s="40">
        <v>0</v>
      </c>
      <c r="AL6" s="39">
        <v>0</v>
      </c>
      <c r="AM6" s="40">
        <v>0</v>
      </c>
      <c r="AN6" s="40">
        <v>0</v>
      </c>
      <c r="AO6" s="41">
        <v>0</v>
      </c>
      <c r="AP6" s="40">
        <v>0</v>
      </c>
      <c r="AQ6" s="40">
        <v>0</v>
      </c>
    </row>
    <row r="7" spans="1:43" s="7" customFormat="1" ht="12.75">
      <c r="A7" s="38" t="s">
        <v>93</v>
      </c>
      <c r="B7" s="39">
        <v>8</v>
      </c>
      <c r="C7" s="40">
        <v>-46.4</v>
      </c>
      <c r="D7" s="40">
        <v>5.7</v>
      </c>
      <c r="E7" s="40">
        <v>-16.4</v>
      </c>
      <c r="F7" s="39">
        <v>39.5</v>
      </c>
      <c r="G7" s="40">
        <v>-79.6</v>
      </c>
      <c r="H7" s="40">
        <v>71.5</v>
      </c>
      <c r="I7" s="41">
        <v>-113.9</v>
      </c>
      <c r="J7" s="39">
        <v>-5.5</v>
      </c>
      <c r="K7" s="40">
        <v>-8</v>
      </c>
      <c r="L7" s="40">
        <v>51.2</v>
      </c>
      <c r="M7" s="41">
        <v>20.6</v>
      </c>
      <c r="N7" s="39">
        <v>35.2</v>
      </c>
      <c r="O7" s="40">
        <v>7.3</v>
      </c>
      <c r="P7" s="40">
        <v>3.3</v>
      </c>
      <c r="Q7" s="41">
        <v>4.2</v>
      </c>
      <c r="R7" s="39">
        <v>8.9</v>
      </c>
      <c r="S7" s="40">
        <v>5</v>
      </c>
      <c r="T7" s="40">
        <v>4.4</v>
      </c>
      <c r="U7" s="41">
        <v>10.8</v>
      </c>
      <c r="V7" s="40">
        <v>11.6</v>
      </c>
      <c r="W7" s="40">
        <v>3.1</v>
      </c>
      <c r="X7" s="40">
        <v>0.4</v>
      </c>
      <c r="Y7" s="41">
        <v>-0.2</v>
      </c>
      <c r="Z7" s="40">
        <v>6.4</v>
      </c>
      <c r="AA7" s="40">
        <v>11.4</v>
      </c>
      <c r="AB7" s="40">
        <v>5.9</v>
      </c>
      <c r="AC7" s="41">
        <v>3.4</v>
      </c>
      <c r="AD7" s="40">
        <v>0.1</v>
      </c>
      <c r="AE7" s="40">
        <v>1.5</v>
      </c>
      <c r="AF7" s="40">
        <v>1.4</v>
      </c>
      <c r="AG7" s="41">
        <v>2.5</v>
      </c>
      <c r="AH7" s="40">
        <v>0.8</v>
      </c>
      <c r="AI7" s="40">
        <v>1.1</v>
      </c>
      <c r="AJ7" s="40">
        <v>-3.1</v>
      </c>
      <c r="AK7" s="40">
        <v>6.3</v>
      </c>
      <c r="AL7" s="39">
        <v>6.1</v>
      </c>
      <c r="AM7" s="40">
        <v>6.1</v>
      </c>
      <c r="AN7" s="40">
        <v>6.3</v>
      </c>
      <c r="AO7" s="41">
        <v>6.5</v>
      </c>
      <c r="AP7" s="40">
        <v>2.9</v>
      </c>
      <c r="AQ7" s="40">
        <v>4.8</v>
      </c>
    </row>
    <row r="8" spans="1:43" s="4" customFormat="1" ht="12.75">
      <c r="A8" s="87" t="s">
        <v>94</v>
      </c>
      <c r="B8" s="39">
        <f>SUM(B9:B11)</f>
        <v>32</v>
      </c>
      <c r="C8" s="40">
        <f aca="true" t="shared" si="3" ref="C8:W8">SUM(C9:C11)</f>
        <v>32.1</v>
      </c>
      <c r="D8" s="40">
        <f t="shared" si="3"/>
        <v>178.2</v>
      </c>
      <c r="E8" s="40">
        <f t="shared" si="3"/>
        <v>228.50000000000003</v>
      </c>
      <c r="F8" s="39">
        <f t="shared" si="3"/>
        <v>184.5</v>
      </c>
      <c r="G8" s="40">
        <f t="shared" si="3"/>
        <v>-20.400000000000006</v>
      </c>
      <c r="H8" s="40">
        <f t="shared" si="3"/>
        <v>-485</v>
      </c>
      <c r="I8" s="41">
        <f t="shared" si="3"/>
        <v>351.3</v>
      </c>
      <c r="J8" s="39">
        <f t="shared" si="3"/>
        <v>2819.5000000000005</v>
      </c>
      <c r="K8" s="40">
        <f t="shared" si="3"/>
        <v>-637.0999999999999</v>
      </c>
      <c r="L8" s="40">
        <f t="shared" si="3"/>
        <v>-475.1</v>
      </c>
      <c r="M8" s="41">
        <f t="shared" si="3"/>
        <v>-296.09999999999997</v>
      </c>
      <c r="N8" s="39">
        <f t="shared" si="3"/>
        <v>-242.39999999999998</v>
      </c>
      <c r="O8" s="40">
        <f t="shared" si="3"/>
        <v>200.39999999999998</v>
      </c>
      <c r="P8" s="40">
        <f t="shared" si="3"/>
        <v>-140.4</v>
      </c>
      <c r="Q8" s="41">
        <f t="shared" si="3"/>
        <v>-205.4</v>
      </c>
      <c r="R8" s="39">
        <f t="shared" si="3"/>
        <v>-165.10000000000002</v>
      </c>
      <c r="S8" s="40">
        <f t="shared" si="3"/>
        <v>109.39999999999999</v>
      </c>
      <c r="T8" s="40">
        <f t="shared" si="3"/>
        <v>-121.39999999999999</v>
      </c>
      <c r="U8" s="41">
        <f t="shared" si="3"/>
        <v>23.000000000000004</v>
      </c>
      <c r="V8" s="40">
        <f t="shared" si="3"/>
        <v>-94.2</v>
      </c>
      <c r="W8" s="40">
        <f t="shared" si="3"/>
        <v>-212.10000000000002</v>
      </c>
      <c r="X8" s="40">
        <f aca="true" t="shared" si="4" ref="X8:AH8">SUM(X9:X11)</f>
        <v>-39.7</v>
      </c>
      <c r="Y8" s="41">
        <f t="shared" si="4"/>
        <v>19.2</v>
      </c>
      <c r="Z8" s="40">
        <f t="shared" si="4"/>
        <v>-81.7</v>
      </c>
      <c r="AA8" s="40">
        <f t="shared" si="4"/>
        <v>49.3</v>
      </c>
      <c r="AB8" s="40">
        <f t="shared" si="4"/>
        <v>64.3</v>
      </c>
      <c r="AC8" s="41">
        <f t="shared" si="4"/>
        <v>29.099999999999998</v>
      </c>
      <c r="AD8" s="40">
        <f t="shared" si="4"/>
        <v>15.7</v>
      </c>
      <c r="AE8" s="40">
        <f t="shared" si="4"/>
        <v>60</v>
      </c>
      <c r="AF8" s="40">
        <f t="shared" si="4"/>
        <v>-35.7</v>
      </c>
      <c r="AG8" s="41">
        <f t="shared" si="4"/>
        <v>31.200000000000003</v>
      </c>
      <c r="AH8" s="40">
        <f t="shared" si="4"/>
        <v>-5</v>
      </c>
      <c r="AI8" s="40">
        <f aca="true" t="shared" si="5" ref="AI8:AQ8">SUM(AI9:AI11)</f>
        <v>28.299999999999997</v>
      </c>
      <c r="AJ8" s="40">
        <f t="shared" si="5"/>
        <v>6.5</v>
      </c>
      <c r="AK8" s="40">
        <f t="shared" si="5"/>
        <v>-37.3</v>
      </c>
      <c r="AL8" s="39">
        <f t="shared" si="5"/>
        <v>110.9</v>
      </c>
      <c r="AM8" s="40">
        <f t="shared" si="5"/>
        <v>43.099999999999994</v>
      </c>
      <c r="AN8" s="40">
        <f t="shared" si="5"/>
        <v>-58.3</v>
      </c>
      <c r="AO8" s="41">
        <f t="shared" si="5"/>
        <v>-93.2</v>
      </c>
      <c r="AP8" s="40">
        <f t="shared" si="5"/>
        <v>56.9</v>
      </c>
      <c r="AQ8" s="40">
        <f t="shared" si="5"/>
        <v>-32.5</v>
      </c>
    </row>
    <row r="9" spans="1:43" s="66" customFormat="1" ht="12.75">
      <c r="A9" s="105" t="s">
        <v>95</v>
      </c>
      <c r="B9" s="57">
        <v>32.4</v>
      </c>
      <c r="C9" s="58">
        <v>13.1</v>
      </c>
      <c r="D9" s="58">
        <v>190.6</v>
      </c>
      <c r="E9" s="58">
        <v>268.6</v>
      </c>
      <c r="F9" s="57">
        <v>198</v>
      </c>
      <c r="G9" s="58">
        <v>-88.9</v>
      </c>
      <c r="H9" s="58">
        <v>-457.8</v>
      </c>
      <c r="I9" s="59">
        <v>628</v>
      </c>
      <c r="J9" s="57">
        <v>2777.4</v>
      </c>
      <c r="K9" s="58">
        <v>-732.5</v>
      </c>
      <c r="L9" s="58">
        <v>-495.8</v>
      </c>
      <c r="M9" s="59">
        <v>-357.2</v>
      </c>
      <c r="N9" s="57">
        <v>-241.7</v>
      </c>
      <c r="O9" s="58">
        <v>179.2</v>
      </c>
      <c r="P9" s="58">
        <v>-150.8</v>
      </c>
      <c r="Q9" s="59">
        <v>-210.1</v>
      </c>
      <c r="R9" s="57">
        <v>-167.3</v>
      </c>
      <c r="S9" s="58">
        <v>98.6</v>
      </c>
      <c r="T9" s="58">
        <v>-143</v>
      </c>
      <c r="U9" s="59">
        <v>50.2</v>
      </c>
      <c r="V9" s="58">
        <v>-101</v>
      </c>
      <c r="W9" s="58">
        <v>-213.9</v>
      </c>
      <c r="X9" s="58">
        <v>-53.4</v>
      </c>
      <c r="Y9" s="59">
        <v>12.2</v>
      </c>
      <c r="Z9" s="58">
        <v>-78.5</v>
      </c>
      <c r="AA9" s="58">
        <v>37.8</v>
      </c>
      <c r="AB9" s="58">
        <v>63.9</v>
      </c>
      <c r="AC9" s="59">
        <v>29.9</v>
      </c>
      <c r="AD9" s="58">
        <v>5.9</v>
      </c>
      <c r="AE9" s="58">
        <v>56.5</v>
      </c>
      <c r="AF9" s="58">
        <v>-39.5</v>
      </c>
      <c r="AG9" s="59">
        <v>18.8</v>
      </c>
      <c r="AH9" s="58">
        <v>-15.6</v>
      </c>
      <c r="AI9" s="58">
        <v>17.4</v>
      </c>
      <c r="AJ9" s="58">
        <v>-1.5</v>
      </c>
      <c r="AK9" s="58">
        <v>-41.9</v>
      </c>
      <c r="AL9" s="57">
        <v>108.2</v>
      </c>
      <c r="AM9" s="58">
        <v>45.8</v>
      </c>
      <c r="AN9" s="58">
        <v>-57.3</v>
      </c>
      <c r="AO9" s="59">
        <v>-88.8</v>
      </c>
      <c r="AP9" s="58">
        <v>54</v>
      </c>
      <c r="AQ9" s="58">
        <v>-30.2</v>
      </c>
    </row>
    <row r="10" spans="1:43" s="66" customFormat="1" ht="12.75">
      <c r="A10" s="106" t="s">
        <v>96</v>
      </c>
      <c r="B10" s="57">
        <v>8.6</v>
      </c>
      <c r="C10" s="58">
        <v>4.7</v>
      </c>
      <c r="D10" s="58">
        <v>-15.9</v>
      </c>
      <c r="E10" s="58">
        <v>-48.7</v>
      </c>
      <c r="F10" s="57">
        <v>-27.8</v>
      </c>
      <c r="G10" s="58">
        <v>62.6</v>
      </c>
      <c r="H10" s="58">
        <v>-35.9</v>
      </c>
      <c r="I10" s="59">
        <v>-279.8</v>
      </c>
      <c r="J10" s="57">
        <v>38.3</v>
      </c>
      <c r="K10" s="58">
        <v>94.2</v>
      </c>
      <c r="L10" s="58">
        <v>21.7</v>
      </c>
      <c r="M10" s="59">
        <v>57.1</v>
      </c>
      <c r="N10" s="57">
        <v>-2.5</v>
      </c>
      <c r="O10" s="58">
        <v>19.7</v>
      </c>
      <c r="P10" s="58">
        <v>10.5</v>
      </c>
      <c r="Q10" s="59">
        <v>2.7</v>
      </c>
      <c r="R10" s="57">
        <v>0</v>
      </c>
      <c r="S10" s="58">
        <v>9.7</v>
      </c>
      <c r="T10" s="58">
        <v>17.2</v>
      </c>
      <c r="U10" s="59">
        <v>-27</v>
      </c>
      <c r="V10" s="58">
        <v>6.3</v>
      </c>
      <c r="W10" s="58">
        <v>1.2</v>
      </c>
      <c r="X10" s="58">
        <v>13.2</v>
      </c>
      <c r="Y10" s="59">
        <v>6.3</v>
      </c>
      <c r="Z10" s="58">
        <f>-2.9-1</f>
        <v>-3.9</v>
      </c>
      <c r="AA10" s="58">
        <f>16-5.2</f>
        <v>10.8</v>
      </c>
      <c r="AB10" s="58">
        <f>15.9-16.2</f>
        <v>-0.29999999999999893</v>
      </c>
      <c r="AC10" s="59">
        <v>-1.5</v>
      </c>
      <c r="AD10" s="58">
        <f>9.6-0.4</f>
        <v>9.2</v>
      </c>
      <c r="AE10" s="58">
        <v>3.2</v>
      </c>
      <c r="AF10" s="58">
        <v>3.5</v>
      </c>
      <c r="AG10" s="59">
        <v>12.3</v>
      </c>
      <c r="AH10" s="58">
        <v>10.5</v>
      </c>
      <c r="AI10" s="58">
        <v>10.9</v>
      </c>
      <c r="AJ10" s="58">
        <v>8</v>
      </c>
      <c r="AK10" s="58">
        <v>4.6</v>
      </c>
      <c r="AL10" s="57">
        <v>2.7</v>
      </c>
      <c r="AM10" s="58">
        <v>-2.7</v>
      </c>
      <c r="AN10" s="58">
        <v>-1</v>
      </c>
      <c r="AO10" s="59">
        <v>-4.4</v>
      </c>
      <c r="AP10" s="58">
        <v>2.9</v>
      </c>
      <c r="AQ10" s="58">
        <v>-2.3</v>
      </c>
    </row>
    <row r="11" spans="1:43" s="66" customFormat="1" ht="12.75">
      <c r="A11" s="105" t="s">
        <v>97</v>
      </c>
      <c r="B11" s="57">
        <v>-9</v>
      </c>
      <c r="C11" s="58">
        <v>14.3</v>
      </c>
      <c r="D11" s="58">
        <v>3.5</v>
      </c>
      <c r="E11" s="58">
        <v>8.6</v>
      </c>
      <c r="F11" s="57">
        <v>14.3</v>
      </c>
      <c r="G11" s="58">
        <v>5.9</v>
      </c>
      <c r="H11" s="58">
        <v>8.7</v>
      </c>
      <c r="I11" s="59">
        <v>3.1</v>
      </c>
      <c r="J11" s="57">
        <v>3.8</v>
      </c>
      <c r="K11" s="58">
        <v>1.2</v>
      </c>
      <c r="L11" s="58">
        <v>-1</v>
      </c>
      <c r="M11" s="59">
        <v>4</v>
      </c>
      <c r="N11" s="57">
        <v>1.8</v>
      </c>
      <c r="O11" s="58">
        <v>1.5</v>
      </c>
      <c r="P11" s="58">
        <v>-0.1</v>
      </c>
      <c r="Q11" s="59">
        <v>2</v>
      </c>
      <c r="R11" s="57">
        <v>2.2</v>
      </c>
      <c r="S11" s="58">
        <v>1.1</v>
      </c>
      <c r="T11" s="58">
        <v>4.4</v>
      </c>
      <c r="U11" s="59">
        <v>-0.2</v>
      </c>
      <c r="V11" s="58">
        <v>0.5</v>
      </c>
      <c r="W11" s="58">
        <v>0.6</v>
      </c>
      <c r="X11" s="58">
        <v>0.5</v>
      </c>
      <c r="Y11" s="59">
        <v>0.7</v>
      </c>
      <c r="Z11" s="58">
        <v>0.7</v>
      </c>
      <c r="AA11" s="58">
        <v>0.7</v>
      </c>
      <c r="AB11" s="58">
        <v>0.7</v>
      </c>
      <c r="AC11" s="59">
        <v>0.7</v>
      </c>
      <c r="AD11" s="58">
        <v>0.6</v>
      </c>
      <c r="AE11" s="58">
        <v>0.3</v>
      </c>
      <c r="AF11" s="58">
        <v>0.3</v>
      </c>
      <c r="AG11" s="59">
        <v>0.1</v>
      </c>
      <c r="AH11" s="58">
        <v>0.1</v>
      </c>
      <c r="AI11" s="58">
        <v>0</v>
      </c>
      <c r="AJ11" s="58">
        <v>0</v>
      </c>
      <c r="AK11" s="58">
        <v>0</v>
      </c>
      <c r="AL11" s="57">
        <v>0</v>
      </c>
      <c r="AM11" s="58">
        <v>0</v>
      </c>
      <c r="AN11" s="58">
        <v>0</v>
      </c>
      <c r="AO11" s="59">
        <v>0</v>
      </c>
      <c r="AP11" s="58">
        <v>0</v>
      </c>
      <c r="AQ11" s="58">
        <v>0</v>
      </c>
    </row>
    <row r="12" spans="1:43" s="7" customFormat="1" ht="22.5">
      <c r="A12" s="88" t="s">
        <v>98</v>
      </c>
      <c r="B12" s="39">
        <f aca="true" t="shared" si="6" ref="B12:W12">B13+B14</f>
        <v>0.8</v>
      </c>
      <c r="C12" s="40">
        <f t="shared" si="6"/>
        <v>2.3</v>
      </c>
      <c r="D12" s="40">
        <f t="shared" si="6"/>
        <v>0.4</v>
      </c>
      <c r="E12" s="41">
        <f t="shared" si="6"/>
        <v>2.9</v>
      </c>
      <c r="F12" s="40">
        <f t="shared" si="6"/>
        <v>17.9</v>
      </c>
      <c r="G12" s="40">
        <f t="shared" si="6"/>
        <v>-14.200000000000001</v>
      </c>
      <c r="H12" s="40">
        <f t="shared" si="6"/>
        <v>-6.1000000000000005</v>
      </c>
      <c r="I12" s="40">
        <f t="shared" si="6"/>
        <v>5.2</v>
      </c>
      <c r="J12" s="39">
        <f t="shared" si="6"/>
        <v>-1.7000000000000002</v>
      </c>
      <c r="K12" s="40">
        <f t="shared" si="6"/>
        <v>-0.2</v>
      </c>
      <c r="L12" s="40">
        <f t="shared" si="6"/>
        <v>0</v>
      </c>
      <c r="M12" s="41">
        <f t="shared" si="6"/>
        <v>-0.8</v>
      </c>
      <c r="N12" s="40">
        <f t="shared" si="6"/>
        <v>-0.2</v>
      </c>
      <c r="O12" s="40">
        <f t="shared" si="6"/>
        <v>-1.4</v>
      </c>
      <c r="P12" s="40">
        <f t="shared" si="6"/>
        <v>-1.4</v>
      </c>
      <c r="Q12" s="40">
        <f t="shared" si="6"/>
        <v>-1</v>
      </c>
      <c r="R12" s="39">
        <f t="shared" si="6"/>
        <v>-0.3</v>
      </c>
      <c r="S12" s="40">
        <f t="shared" si="6"/>
        <v>-0.5</v>
      </c>
      <c r="T12" s="40">
        <f t="shared" si="6"/>
        <v>0</v>
      </c>
      <c r="U12" s="41">
        <f t="shared" si="6"/>
        <v>0</v>
      </c>
      <c r="V12" s="40">
        <f t="shared" si="6"/>
        <v>0.6</v>
      </c>
      <c r="W12" s="40">
        <f t="shared" si="6"/>
        <v>-1.2</v>
      </c>
      <c r="X12" s="40">
        <f>X13+X14</f>
        <v>0</v>
      </c>
      <c r="Y12" s="41">
        <f>Y13+Y14</f>
        <v>0</v>
      </c>
      <c r="Z12" s="40">
        <f>Z13+Z14</f>
        <v>0</v>
      </c>
      <c r="AA12" s="40">
        <f>AA13+AA14</f>
        <v>0</v>
      </c>
      <c r="AB12" s="40">
        <f>AB13+AB14</f>
        <v>0</v>
      </c>
      <c r="AC12" s="41">
        <v>0</v>
      </c>
      <c r="AD12" s="40">
        <v>0</v>
      </c>
      <c r="AE12" s="40">
        <v>0</v>
      </c>
      <c r="AF12" s="40">
        <v>0</v>
      </c>
      <c r="AG12" s="41">
        <v>0</v>
      </c>
      <c r="AH12" s="40">
        <v>0</v>
      </c>
      <c r="AI12" s="40">
        <v>0</v>
      </c>
      <c r="AJ12" s="40">
        <v>0</v>
      </c>
      <c r="AK12" s="40">
        <v>0</v>
      </c>
      <c r="AL12" s="39">
        <v>0</v>
      </c>
      <c r="AM12" s="40">
        <v>0</v>
      </c>
      <c r="AN12" s="40">
        <v>0</v>
      </c>
      <c r="AO12" s="41">
        <v>0</v>
      </c>
      <c r="AP12" s="40">
        <v>0</v>
      </c>
      <c r="AQ12" s="40">
        <v>0</v>
      </c>
    </row>
    <row r="13" spans="1:43" s="9" customFormat="1" ht="12.75">
      <c r="A13" s="87" t="s">
        <v>93</v>
      </c>
      <c r="B13" s="39">
        <v>0.8</v>
      </c>
      <c r="C13" s="40">
        <v>2.3</v>
      </c>
      <c r="D13" s="40">
        <v>0.4</v>
      </c>
      <c r="E13" s="40">
        <v>2.9</v>
      </c>
      <c r="F13" s="39">
        <v>-0.1</v>
      </c>
      <c r="G13" s="40">
        <v>-1.9</v>
      </c>
      <c r="H13" s="40">
        <v>1.8</v>
      </c>
      <c r="I13" s="41">
        <v>0.8</v>
      </c>
      <c r="J13" s="39">
        <v>0.4</v>
      </c>
      <c r="K13" s="40">
        <v>-0.2</v>
      </c>
      <c r="L13" s="40">
        <v>0</v>
      </c>
      <c r="M13" s="41">
        <v>-0.8</v>
      </c>
      <c r="N13" s="39">
        <v>-0.2</v>
      </c>
      <c r="O13" s="40">
        <v>-1.4</v>
      </c>
      <c r="P13" s="40">
        <v>-1.4</v>
      </c>
      <c r="Q13" s="41">
        <v>-1</v>
      </c>
      <c r="R13" s="39">
        <v>-0.3</v>
      </c>
      <c r="S13" s="40">
        <v>-0.5</v>
      </c>
      <c r="T13" s="40">
        <v>0</v>
      </c>
      <c r="U13" s="41">
        <v>0</v>
      </c>
      <c r="V13" s="40">
        <v>0.6</v>
      </c>
      <c r="W13" s="40">
        <v>-1.2</v>
      </c>
      <c r="X13" s="40">
        <v>0</v>
      </c>
      <c r="Y13" s="41">
        <v>0</v>
      </c>
      <c r="Z13" s="40">
        <v>0</v>
      </c>
      <c r="AA13" s="40">
        <v>0</v>
      </c>
      <c r="AB13" s="40">
        <v>0</v>
      </c>
      <c r="AC13" s="41">
        <v>0</v>
      </c>
      <c r="AD13" s="40">
        <v>0</v>
      </c>
      <c r="AE13" s="40">
        <v>0</v>
      </c>
      <c r="AF13" s="40">
        <v>0</v>
      </c>
      <c r="AG13" s="41">
        <v>0</v>
      </c>
      <c r="AH13" s="40">
        <v>0</v>
      </c>
      <c r="AI13" s="40">
        <v>0</v>
      </c>
      <c r="AJ13" s="40">
        <v>0</v>
      </c>
      <c r="AK13" s="40">
        <v>0</v>
      </c>
      <c r="AL13" s="39">
        <v>0</v>
      </c>
      <c r="AM13" s="40">
        <v>0</v>
      </c>
      <c r="AN13" s="40">
        <v>0</v>
      </c>
      <c r="AO13" s="41">
        <v>0</v>
      </c>
      <c r="AP13" s="40">
        <v>0</v>
      </c>
      <c r="AQ13" s="40">
        <v>0</v>
      </c>
    </row>
    <row r="14" spans="1:43" s="9" customFormat="1" ht="22.5">
      <c r="A14" s="87" t="s">
        <v>220</v>
      </c>
      <c r="B14" s="39">
        <v>0</v>
      </c>
      <c r="C14" s="40">
        <v>0</v>
      </c>
      <c r="D14" s="40">
        <v>0</v>
      </c>
      <c r="E14" s="40">
        <v>0</v>
      </c>
      <c r="F14" s="39">
        <v>18</v>
      </c>
      <c r="G14" s="40">
        <v>-12.3</v>
      </c>
      <c r="H14" s="40">
        <v>-7.9</v>
      </c>
      <c r="I14" s="41">
        <f>2.3+2.1</f>
        <v>4.4</v>
      </c>
      <c r="J14" s="39">
        <v>-2.1</v>
      </c>
      <c r="K14" s="40">
        <v>0</v>
      </c>
      <c r="L14" s="40">
        <v>0</v>
      </c>
      <c r="M14" s="41">
        <v>0</v>
      </c>
      <c r="N14" s="39">
        <v>0</v>
      </c>
      <c r="O14" s="40">
        <v>0</v>
      </c>
      <c r="P14" s="40">
        <v>0</v>
      </c>
      <c r="Q14" s="41">
        <v>0</v>
      </c>
      <c r="R14" s="39">
        <v>0</v>
      </c>
      <c r="S14" s="40">
        <v>0</v>
      </c>
      <c r="T14" s="40">
        <v>0</v>
      </c>
      <c r="U14" s="41">
        <v>0</v>
      </c>
      <c r="V14" s="40">
        <v>0</v>
      </c>
      <c r="W14" s="40">
        <v>0</v>
      </c>
      <c r="X14" s="40">
        <v>0</v>
      </c>
      <c r="Y14" s="41">
        <v>0</v>
      </c>
      <c r="Z14" s="40">
        <v>0</v>
      </c>
      <c r="AA14" s="40">
        <v>0</v>
      </c>
      <c r="AB14" s="40">
        <v>0</v>
      </c>
      <c r="AC14" s="41">
        <v>0</v>
      </c>
      <c r="AD14" s="40">
        <v>0</v>
      </c>
      <c r="AE14" s="40">
        <v>0</v>
      </c>
      <c r="AF14" s="40">
        <v>0</v>
      </c>
      <c r="AG14" s="41">
        <v>0</v>
      </c>
      <c r="AH14" s="40">
        <v>0</v>
      </c>
      <c r="AI14" s="40">
        <v>0</v>
      </c>
      <c r="AJ14" s="40">
        <v>0</v>
      </c>
      <c r="AK14" s="40">
        <v>0</v>
      </c>
      <c r="AL14" s="39">
        <v>0</v>
      </c>
      <c r="AM14" s="40">
        <v>0</v>
      </c>
      <c r="AN14" s="40">
        <v>0</v>
      </c>
      <c r="AO14" s="41">
        <v>0</v>
      </c>
      <c r="AP14" s="40">
        <v>0</v>
      </c>
      <c r="AQ14" s="40">
        <v>0</v>
      </c>
    </row>
    <row r="15" spans="1:43" s="9" customFormat="1" ht="12.75">
      <c r="A15" s="107" t="s">
        <v>99</v>
      </c>
      <c r="B15" s="39">
        <v>-2.3</v>
      </c>
      <c r="C15" s="40">
        <v>27.3</v>
      </c>
      <c r="D15" s="40">
        <v>-148.2</v>
      </c>
      <c r="E15" s="40">
        <v>-218.9</v>
      </c>
      <c r="F15" s="39">
        <v>-160.2</v>
      </c>
      <c r="G15" s="40">
        <v>180.3</v>
      </c>
      <c r="H15" s="40">
        <v>474.8</v>
      </c>
      <c r="I15" s="41">
        <v>-543.8</v>
      </c>
      <c r="J15" s="39">
        <v>-2835.6</v>
      </c>
      <c r="K15" s="40">
        <v>686.1</v>
      </c>
      <c r="L15" s="40">
        <v>477.8</v>
      </c>
      <c r="M15" s="41">
        <v>296.3</v>
      </c>
      <c r="N15" s="39">
        <v>235.9</v>
      </c>
      <c r="O15" s="40">
        <v>-183.2</v>
      </c>
      <c r="P15" s="40">
        <v>161</v>
      </c>
      <c r="Q15" s="41">
        <v>204</v>
      </c>
      <c r="R15" s="39">
        <v>184.3</v>
      </c>
      <c r="S15" s="40">
        <v>-102.3</v>
      </c>
      <c r="T15" s="40">
        <v>112.4</v>
      </c>
      <c r="U15" s="41">
        <v>-46.2</v>
      </c>
      <c r="V15" s="40">
        <v>135.7</v>
      </c>
      <c r="W15" s="40">
        <v>222.5</v>
      </c>
      <c r="X15" s="40">
        <v>58.2</v>
      </c>
      <c r="Y15" s="41">
        <v>-18.4</v>
      </c>
      <c r="Z15" s="40">
        <v>91.4</v>
      </c>
      <c r="AA15" s="40">
        <f>-41.9+10.3</f>
        <v>-31.599999999999998</v>
      </c>
      <c r="AB15" s="40">
        <f>-44.9-5.1</f>
        <v>-50</v>
      </c>
      <c r="AC15" s="41">
        <v>-22.4</v>
      </c>
      <c r="AD15" s="40">
        <v>9.1</v>
      </c>
      <c r="AE15" s="40">
        <v>-38.7</v>
      </c>
      <c r="AF15" s="40">
        <v>57.9</v>
      </c>
      <c r="AG15" s="41">
        <v>-10.6</v>
      </c>
      <c r="AH15" s="40">
        <v>19.4</v>
      </c>
      <c r="AI15" s="40">
        <v>-1.9</v>
      </c>
      <c r="AJ15" s="40">
        <v>16.1</v>
      </c>
      <c r="AK15" s="40">
        <v>53.9</v>
      </c>
      <c r="AL15" s="39">
        <v>-94</v>
      </c>
      <c r="AM15" s="40">
        <v>-44.1</v>
      </c>
      <c r="AN15" s="40">
        <v>68.4</v>
      </c>
      <c r="AO15" s="41">
        <v>99.4</v>
      </c>
      <c r="AP15" s="40">
        <v>-41.8</v>
      </c>
      <c r="AQ15" s="40">
        <v>38.8</v>
      </c>
    </row>
    <row r="16" spans="1:43" s="108" customFormat="1" ht="22.5">
      <c r="A16" s="98" t="s">
        <v>200</v>
      </c>
      <c r="B16" s="93">
        <f>B5+B12+B15</f>
        <v>37.8</v>
      </c>
      <c r="C16" s="94">
        <f aca="true" t="shared" si="7" ref="C16:W16">C5+C12+C15</f>
        <v>17.400000000000006</v>
      </c>
      <c r="D16" s="94">
        <f t="shared" si="7"/>
        <v>36.30000000000001</v>
      </c>
      <c r="E16" s="94">
        <f t="shared" si="7"/>
        <v>-8.499999999999972</v>
      </c>
      <c r="F16" s="93">
        <f t="shared" si="7"/>
        <v>72.50000000000003</v>
      </c>
      <c r="G16" s="94">
        <f t="shared" si="7"/>
        <v>64.80000000000001</v>
      </c>
      <c r="H16" s="94">
        <f>H5+H12+H15</f>
        <v>53.39999999999998</v>
      </c>
      <c r="I16" s="95">
        <f t="shared" si="7"/>
        <v>-307.9</v>
      </c>
      <c r="J16" s="93">
        <f t="shared" si="7"/>
        <v>-23.99999999999909</v>
      </c>
      <c r="K16" s="94">
        <f t="shared" si="7"/>
        <v>43.60000000000002</v>
      </c>
      <c r="L16" s="94">
        <f t="shared" si="7"/>
        <v>58.80000000000001</v>
      </c>
      <c r="M16" s="95">
        <f t="shared" si="7"/>
        <v>19.500000000000057</v>
      </c>
      <c r="N16" s="93">
        <f t="shared" si="7"/>
        <v>28.50000000000003</v>
      </c>
      <c r="O16" s="94">
        <f t="shared" si="7"/>
        <v>22.799999999999983</v>
      </c>
      <c r="P16" s="94">
        <f t="shared" si="7"/>
        <v>24.399999999999977</v>
      </c>
      <c r="Q16" s="95">
        <f t="shared" si="7"/>
        <v>1.799999999999983</v>
      </c>
      <c r="R16" s="93">
        <f t="shared" si="7"/>
        <v>26.799999999999983</v>
      </c>
      <c r="S16" s="94">
        <f t="shared" si="7"/>
        <v>11.399999999999991</v>
      </c>
      <c r="T16" s="94">
        <f t="shared" si="7"/>
        <v>-8.09999999999998</v>
      </c>
      <c r="U16" s="95">
        <f t="shared" si="7"/>
        <v>-11.799999999999997</v>
      </c>
      <c r="V16" s="94">
        <f t="shared" si="7"/>
        <v>53.699999999999974</v>
      </c>
      <c r="W16" s="94">
        <f t="shared" si="7"/>
        <v>12.299999999999983</v>
      </c>
      <c r="X16" s="94">
        <f aca="true" t="shared" si="8" ref="X16:AH16">X5+X12+X15</f>
        <v>18.9</v>
      </c>
      <c r="Y16" s="95">
        <f t="shared" si="8"/>
        <v>0.6000000000000014</v>
      </c>
      <c r="Z16" s="94">
        <f t="shared" si="8"/>
        <v>16.10000000000001</v>
      </c>
      <c r="AA16" s="94">
        <f t="shared" si="8"/>
        <v>29.099999999999998</v>
      </c>
      <c r="AB16" s="94">
        <f t="shared" si="8"/>
        <v>20.200000000000003</v>
      </c>
      <c r="AC16" s="95">
        <f t="shared" si="8"/>
        <v>10.100000000000001</v>
      </c>
      <c r="AD16" s="94">
        <f t="shared" si="8"/>
        <v>24.9</v>
      </c>
      <c r="AE16" s="94">
        <f t="shared" si="8"/>
        <v>22.799999999999997</v>
      </c>
      <c r="AF16" s="94">
        <f t="shared" si="8"/>
        <v>23.599999999999994</v>
      </c>
      <c r="AG16" s="95">
        <f t="shared" si="8"/>
        <v>23.1</v>
      </c>
      <c r="AH16" s="94">
        <f t="shared" si="8"/>
        <v>15.2</v>
      </c>
      <c r="AI16" s="94">
        <f aca="true" t="shared" si="9" ref="AI16:AQ16">AI5+AI12+AI15</f>
        <v>27.5</v>
      </c>
      <c r="AJ16" s="94">
        <f t="shared" si="9"/>
        <v>19.5</v>
      </c>
      <c r="AK16" s="94">
        <f t="shared" si="9"/>
        <v>22.900000000000002</v>
      </c>
      <c r="AL16" s="93">
        <f t="shared" si="9"/>
        <v>23</v>
      </c>
      <c r="AM16" s="94">
        <f t="shared" si="9"/>
        <v>5.099999999999994</v>
      </c>
      <c r="AN16" s="94">
        <f t="shared" si="9"/>
        <v>16.400000000000006</v>
      </c>
      <c r="AO16" s="95">
        <f t="shared" si="9"/>
        <v>12.700000000000003</v>
      </c>
      <c r="AP16" s="94">
        <f t="shared" si="9"/>
        <v>18</v>
      </c>
      <c r="AQ16" s="94">
        <f t="shared" si="9"/>
        <v>11.099999999999998</v>
      </c>
    </row>
    <row r="17" spans="1:43" s="9" customFormat="1" ht="12.75">
      <c r="A17" s="89"/>
      <c r="B17" s="39"/>
      <c r="C17" s="40"/>
      <c r="D17" s="40"/>
      <c r="E17" s="40"/>
      <c r="F17" s="39"/>
      <c r="G17" s="40"/>
      <c r="H17" s="40"/>
      <c r="I17" s="41"/>
      <c r="J17" s="39"/>
      <c r="K17" s="40"/>
      <c r="L17" s="40"/>
      <c r="M17" s="41"/>
      <c r="N17" s="39"/>
      <c r="O17" s="40"/>
      <c r="P17" s="40"/>
      <c r="Q17" s="41"/>
      <c r="R17" s="39"/>
      <c r="S17" s="40"/>
      <c r="T17" s="40"/>
      <c r="U17" s="41"/>
      <c r="V17" s="40"/>
      <c r="W17" s="40"/>
      <c r="X17" s="40"/>
      <c r="Y17" s="41"/>
      <c r="Z17" s="40"/>
      <c r="AA17" s="40"/>
      <c r="AB17" s="40"/>
      <c r="AC17" s="41"/>
      <c r="AD17" s="40"/>
      <c r="AE17" s="40"/>
      <c r="AF17" s="40"/>
      <c r="AG17" s="41"/>
      <c r="AH17" s="40"/>
      <c r="AI17" s="40"/>
      <c r="AJ17" s="40"/>
      <c r="AK17" s="40"/>
      <c r="AL17" s="39"/>
      <c r="AM17" s="40"/>
      <c r="AN17" s="40"/>
      <c r="AO17" s="41"/>
      <c r="AP17" s="40"/>
      <c r="AQ17" s="40"/>
    </row>
    <row r="18" spans="1:43" s="9" customFormat="1" ht="12.75">
      <c r="A18" s="89" t="s">
        <v>100</v>
      </c>
      <c r="B18" s="39">
        <v>14.6</v>
      </c>
      <c r="C18" s="40">
        <v>0</v>
      </c>
      <c r="D18" s="40">
        <v>0</v>
      </c>
      <c r="E18" s="40">
        <v>0</v>
      </c>
      <c r="F18" s="39">
        <v>0.1</v>
      </c>
      <c r="G18" s="40">
        <v>25.4</v>
      </c>
      <c r="H18" s="40">
        <v>0</v>
      </c>
      <c r="I18" s="41">
        <v>2.6</v>
      </c>
      <c r="J18" s="39">
        <v>0</v>
      </c>
      <c r="K18" s="40">
        <v>4.1</v>
      </c>
      <c r="L18" s="40">
        <v>0.1</v>
      </c>
      <c r="M18" s="41">
        <v>-0.1</v>
      </c>
      <c r="N18" s="39">
        <v>0</v>
      </c>
      <c r="O18" s="40">
        <v>0</v>
      </c>
      <c r="P18" s="40">
        <v>0.2</v>
      </c>
      <c r="Q18" s="41">
        <v>0</v>
      </c>
      <c r="R18" s="39">
        <v>0</v>
      </c>
      <c r="S18" s="40">
        <v>0</v>
      </c>
      <c r="T18" s="40">
        <v>0</v>
      </c>
      <c r="U18" s="41">
        <v>1.4</v>
      </c>
      <c r="V18" s="40">
        <v>6.8</v>
      </c>
      <c r="W18" s="40">
        <f>R18+S18</f>
        <v>0</v>
      </c>
      <c r="X18" s="40">
        <v>0</v>
      </c>
      <c r="Y18" s="41">
        <v>0</v>
      </c>
      <c r="Z18" s="40">
        <v>0</v>
      </c>
      <c r="AA18" s="40">
        <v>0</v>
      </c>
      <c r="AB18" s="40">
        <v>0</v>
      </c>
      <c r="AC18" s="41">
        <v>0.5</v>
      </c>
      <c r="AD18" s="40">
        <v>0</v>
      </c>
      <c r="AE18" s="40">
        <v>0</v>
      </c>
      <c r="AF18" s="40">
        <v>1.2</v>
      </c>
      <c r="AG18" s="41">
        <v>5.3</v>
      </c>
      <c r="AH18" s="40">
        <v>0</v>
      </c>
      <c r="AI18" s="40">
        <v>0</v>
      </c>
      <c r="AJ18" s="40">
        <v>23.1</v>
      </c>
      <c r="AK18" s="40">
        <v>0</v>
      </c>
      <c r="AL18" s="39">
        <v>0</v>
      </c>
      <c r="AM18" s="40">
        <v>189.6</v>
      </c>
      <c r="AN18" s="40">
        <v>0</v>
      </c>
      <c r="AO18" s="41">
        <v>0</v>
      </c>
      <c r="AP18" s="40">
        <v>0</v>
      </c>
      <c r="AQ18" s="40">
        <v>11.9</v>
      </c>
    </row>
    <row r="19" spans="1:43" s="9" customFormat="1" ht="12.75">
      <c r="A19" s="89" t="s">
        <v>101</v>
      </c>
      <c r="B19" s="39">
        <v>2.3</v>
      </c>
      <c r="C19" s="40">
        <v>4.7</v>
      </c>
      <c r="D19" s="40">
        <v>0.6</v>
      </c>
      <c r="E19" s="40">
        <v>0</v>
      </c>
      <c r="F19" s="39">
        <v>0</v>
      </c>
      <c r="G19" s="40">
        <v>-3.7</v>
      </c>
      <c r="H19" s="40">
        <v>-0.7</v>
      </c>
      <c r="I19" s="41">
        <v>0</v>
      </c>
      <c r="J19" s="39">
        <v>0.3</v>
      </c>
      <c r="K19" s="40">
        <v>0.2</v>
      </c>
      <c r="L19" s="40">
        <v>5.2</v>
      </c>
      <c r="M19" s="41">
        <v>-10.7</v>
      </c>
      <c r="N19" s="39">
        <v>3.8</v>
      </c>
      <c r="O19" s="40">
        <v>-0.5</v>
      </c>
      <c r="P19" s="40">
        <v>-0.4</v>
      </c>
      <c r="Q19" s="41">
        <v>-5.7</v>
      </c>
      <c r="R19" s="39">
        <v>18.2</v>
      </c>
      <c r="S19" s="40">
        <v>-0.2</v>
      </c>
      <c r="T19" s="40">
        <v>7.4</v>
      </c>
      <c r="U19" s="41">
        <v>4.3</v>
      </c>
      <c r="V19" s="40">
        <v>12.3</v>
      </c>
      <c r="W19" s="40">
        <v>2.5</v>
      </c>
      <c r="X19" s="40">
        <v>0</v>
      </c>
      <c r="Y19" s="41">
        <v>3.7</v>
      </c>
      <c r="Z19" s="40">
        <f>120.3-20.9</f>
        <v>99.4</v>
      </c>
      <c r="AA19" s="40">
        <f>-3.7+6.8</f>
        <v>3.0999999999999996</v>
      </c>
      <c r="AB19" s="40">
        <f>-11.7+3</f>
        <v>-8.7</v>
      </c>
      <c r="AC19" s="41">
        <v>0</v>
      </c>
      <c r="AD19" s="40">
        <f>0.1+0.2</f>
        <v>0.30000000000000004</v>
      </c>
      <c r="AE19" s="40">
        <v>4.9</v>
      </c>
      <c r="AF19" s="40">
        <v>0</v>
      </c>
      <c r="AG19" s="41">
        <v>0.1</v>
      </c>
      <c r="AH19" s="40">
        <v>50.9</v>
      </c>
      <c r="AI19" s="40">
        <v>3.1</v>
      </c>
      <c r="AJ19" s="40">
        <v>0</v>
      </c>
      <c r="AK19" s="40">
        <v>0.3</v>
      </c>
      <c r="AL19" s="39">
        <v>28.7</v>
      </c>
      <c r="AM19" s="40">
        <v>1.6</v>
      </c>
      <c r="AN19" s="40">
        <v>3.9</v>
      </c>
      <c r="AO19" s="41">
        <v>2.9</v>
      </c>
      <c r="AP19" s="40">
        <v>10.1</v>
      </c>
      <c r="AQ19" s="40">
        <v>14.7</v>
      </c>
    </row>
    <row r="20" spans="1:43" s="4" customFormat="1" ht="12.75">
      <c r="A20" s="102" t="s">
        <v>102</v>
      </c>
      <c r="B20" s="39">
        <v>0</v>
      </c>
      <c r="C20" s="40">
        <v>1.4</v>
      </c>
      <c r="D20" s="40">
        <v>1.3</v>
      </c>
      <c r="E20" s="40">
        <v>0.1</v>
      </c>
      <c r="F20" s="39">
        <v>0</v>
      </c>
      <c r="G20" s="40">
        <v>2.4</v>
      </c>
      <c r="H20" s="40">
        <v>0.4</v>
      </c>
      <c r="I20" s="41">
        <v>4.3</v>
      </c>
      <c r="J20" s="39">
        <v>0</v>
      </c>
      <c r="K20" s="40">
        <v>4</v>
      </c>
      <c r="L20" s="40">
        <v>0.1</v>
      </c>
      <c r="M20" s="41">
        <v>0.1</v>
      </c>
      <c r="N20" s="39">
        <f>0.3-0.1</f>
        <v>0.19999999999999998</v>
      </c>
      <c r="O20" s="40">
        <v>3.5</v>
      </c>
      <c r="P20" s="40">
        <v>1</v>
      </c>
      <c r="Q20" s="41">
        <v>0.1</v>
      </c>
      <c r="R20" s="39">
        <v>0</v>
      </c>
      <c r="S20" s="40">
        <v>4.4</v>
      </c>
      <c r="T20" s="40">
        <v>0.3</v>
      </c>
      <c r="U20" s="41">
        <v>0.2</v>
      </c>
      <c r="V20" s="40">
        <v>0</v>
      </c>
      <c r="W20" s="40">
        <v>4.1</v>
      </c>
      <c r="X20" s="40">
        <v>0</v>
      </c>
      <c r="Y20" s="41">
        <v>0</v>
      </c>
      <c r="Z20" s="40">
        <v>0</v>
      </c>
      <c r="AA20" s="40">
        <v>3.4</v>
      </c>
      <c r="AB20" s="40">
        <v>0</v>
      </c>
      <c r="AC20" s="41">
        <v>0</v>
      </c>
      <c r="AD20" s="40">
        <v>0</v>
      </c>
      <c r="AE20" s="40">
        <v>0</v>
      </c>
      <c r="AF20" s="40">
        <v>4</v>
      </c>
      <c r="AG20" s="41">
        <v>0</v>
      </c>
      <c r="AH20" s="40">
        <v>0</v>
      </c>
      <c r="AI20" s="40">
        <v>87.5</v>
      </c>
      <c r="AJ20" s="40">
        <v>0.1</v>
      </c>
      <c r="AK20" s="40">
        <v>0</v>
      </c>
      <c r="AL20" s="39">
        <v>0</v>
      </c>
      <c r="AM20" s="40">
        <v>5.4</v>
      </c>
      <c r="AN20" s="40">
        <v>0.1</v>
      </c>
      <c r="AO20" s="41">
        <v>0.1</v>
      </c>
      <c r="AP20" s="40">
        <v>0.1</v>
      </c>
      <c r="AQ20" s="40">
        <v>6.2</v>
      </c>
    </row>
    <row r="21" spans="1:43" s="4" customFormat="1" ht="12.75">
      <c r="A21" s="102" t="s">
        <v>265</v>
      </c>
      <c r="B21" s="39">
        <v>0</v>
      </c>
      <c r="C21" s="40">
        <v>0</v>
      </c>
      <c r="D21" s="40">
        <v>0</v>
      </c>
      <c r="E21" s="40">
        <v>0</v>
      </c>
      <c r="F21" s="39">
        <v>0</v>
      </c>
      <c r="G21" s="40">
        <v>0</v>
      </c>
      <c r="H21" s="40">
        <v>0</v>
      </c>
      <c r="I21" s="40">
        <v>0</v>
      </c>
      <c r="J21" s="39">
        <v>0</v>
      </c>
      <c r="K21" s="40">
        <v>0</v>
      </c>
      <c r="L21" s="40">
        <v>0</v>
      </c>
      <c r="M21" s="40">
        <v>0</v>
      </c>
      <c r="N21" s="39">
        <v>0</v>
      </c>
      <c r="O21" s="40">
        <v>0</v>
      </c>
      <c r="P21" s="40">
        <v>0</v>
      </c>
      <c r="Q21" s="40">
        <v>0</v>
      </c>
      <c r="R21" s="39">
        <v>0</v>
      </c>
      <c r="S21" s="40">
        <v>0</v>
      </c>
      <c r="T21" s="40">
        <v>0</v>
      </c>
      <c r="U21" s="40">
        <v>0</v>
      </c>
      <c r="V21" s="40">
        <v>0</v>
      </c>
      <c r="W21" s="40">
        <v>0</v>
      </c>
      <c r="X21" s="40">
        <v>-0.9</v>
      </c>
      <c r="Y21" s="41">
        <v>-3.9</v>
      </c>
      <c r="Z21" s="40">
        <v>0.1</v>
      </c>
      <c r="AA21" s="40">
        <v>0</v>
      </c>
      <c r="AB21" s="40">
        <v>0</v>
      </c>
      <c r="AC21" s="41">
        <v>-0.1</v>
      </c>
      <c r="AD21" s="40">
        <v>0</v>
      </c>
      <c r="AE21" s="40">
        <v>0</v>
      </c>
      <c r="AF21" s="40">
        <v>0</v>
      </c>
      <c r="AG21" s="41">
        <v>0</v>
      </c>
      <c r="AH21" s="40">
        <v>0</v>
      </c>
      <c r="AI21" s="40">
        <v>0</v>
      </c>
      <c r="AJ21" s="40">
        <v>0</v>
      </c>
      <c r="AK21" s="40">
        <v>0</v>
      </c>
      <c r="AL21" s="39">
        <v>0</v>
      </c>
      <c r="AM21" s="40">
        <v>0</v>
      </c>
      <c r="AN21" s="40">
        <v>0</v>
      </c>
      <c r="AO21" s="41">
        <v>0</v>
      </c>
      <c r="AP21" s="40">
        <v>0</v>
      </c>
      <c r="AQ21" s="40">
        <v>0</v>
      </c>
    </row>
    <row r="22" spans="1:43" s="4" customFormat="1" ht="12.75">
      <c r="A22" s="89" t="s">
        <v>216</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2</v>
      </c>
      <c r="T22" s="40">
        <v>0</v>
      </c>
      <c r="U22" s="41">
        <v>0</v>
      </c>
      <c r="V22" s="40">
        <v>0</v>
      </c>
      <c r="W22" s="40">
        <v>0</v>
      </c>
      <c r="X22" s="40">
        <v>0</v>
      </c>
      <c r="Y22" s="41">
        <v>0</v>
      </c>
      <c r="Z22" s="40">
        <v>0</v>
      </c>
      <c r="AA22" s="40">
        <v>0</v>
      </c>
      <c r="AB22" s="40">
        <v>0</v>
      </c>
      <c r="AC22" s="41">
        <v>0</v>
      </c>
      <c r="AD22" s="40">
        <v>0</v>
      </c>
      <c r="AE22" s="40">
        <v>0</v>
      </c>
      <c r="AF22" s="40">
        <v>0</v>
      </c>
      <c r="AG22" s="41">
        <v>0</v>
      </c>
      <c r="AH22" s="40">
        <v>0</v>
      </c>
      <c r="AI22" s="40">
        <v>0</v>
      </c>
      <c r="AJ22" s="40">
        <v>0</v>
      </c>
      <c r="AK22" s="40">
        <v>0</v>
      </c>
      <c r="AL22" s="39">
        <v>0</v>
      </c>
      <c r="AM22" s="40">
        <v>0</v>
      </c>
      <c r="AN22" s="40">
        <v>0</v>
      </c>
      <c r="AO22" s="41">
        <v>0</v>
      </c>
      <c r="AP22" s="40">
        <v>0</v>
      </c>
      <c r="AQ22" s="40">
        <v>0</v>
      </c>
    </row>
    <row r="23" spans="1:43" s="13" customFormat="1" ht="12.75">
      <c r="A23" s="98" t="s">
        <v>103</v>
      </c>
      <c r="B23" s="93">
        <f aca="true" t="shared" si="10" ref="B23:U23">SUM(B18:B22)</f>
        <v>16.9</v>
      </c>
      <c r="C23" s="94">
        <f t="shared" si="10"/>
        <v>6.1</v>
      </c>
      <c r="D23" s="94">
        <f t="shared" si="10"/>
        <v>1.9</v>
      </c>
      <c r="E23" s="95">
        <f t="shared" si="10"/>
        <v>0.1</v>
      </c>
      <c r="F23" s="94">
        <f t="shared" si="10"/>
        <v>0.1</v>
      </c>
      <c r="G23" s="94">
        <f t="shared" si="10"/>
        <v>24.099999999999998</v>
      </c>
      <c r="H23" s="94">
        <f t="shared" si="10"/>
        <v>-0.29999999999999993</v>
      </c>
      <c r="I23" s="94">
        <f t="shared" si="10"/>
        <v>6.9</v>
      </c>
      <c r="J23" s="93">
        <f t="shared" si="10"/>
        <v>0.3</v>
      </c>
      <c r="K23" s="94">
        <f t="shared" si="10"/>
        <v>8.3</v>
      </c>
      <c r="L23" s="94">
        <f t="shared" si="10"/>
        <v>5.3999999999999995</v>
      </c>
      <c r="M23" s="95">
        <f t="shared" si="10"/>
        <v>-10.7</v>
      </c>
      <c r="N23" s="94">
        <f t="shared" si="10"/>
        <v>4</v>
      </c>
      <c r="O23" s="94">
        <f t="shared" si="10"/>
        <v>3</v>
      </c>
      <c r="P23" s="94">
        <f t="shared" si="10"/>
        <v>0.8</v>
      </c>
      <c r="Q23" s="94">
        <f t="shared" si="10"/>
        <v>-5.6000000000000005</v>
      </c>
      <c r="R23" s="93">
        <f t="shared" si="10"/>
        <v>18.2</v>
      </c>
      <c r="S23" s="94">
        <f t="shared" si="10"/>
        <v>6.2</v>
      </c>
      <c r="T23" s="94">
        <f t="shared" si="10"/>
        <v>7.7</v>
      </c>
      <c r="U23" s="95">
        <f t="shared" si="10"/>
        <v>5.8999999999999995</v>
      </c>
      <c r="V23" s="94">
        <f aca="true" t="shared" si="11" ref="V23:AA23">SUM(V18:V22)</f>
        <v>19.1</v>
      </c>
      <c r="W23" s="94">
        <f t="shared" si="11"/>
        <v>6.6</v>
      </c>
      <c r="X23" s="94">
        <f t="shared" si="11"/>
        <v>-0.9</v>
      </c>
      <c r="Y23" s="95">
        <f t="shared" si="11"/>
        <v>-0.19999999999999973</v>
      </c>
      <c r="Z23" s="94">
        <f t="shared" si="11"/>
        <v>99.5</v>
      </c>
      <c r="AA23" s="94">
        <f t="shared" si="11"/>
        <v>6.5</v>
      </c>
      <c r="AB23" s="94">
        <f aca="true" t="shared" si="12" ref="AB23:AH23">SUM(AB18:AB22)</f>
        <v>-8.7</v>
      </c>
      <c r="AC23" s="95">
        <f t="shared" si="12"/>
        <v>0.4</v>
      </c>
      <c r="AD23" s="94">
        <f t="shared" si="12"/>
        <v>0.30000000000000004</v>
      </c>
      <c r="AE23" s="94">
        <f t="shared" si="12"/>
        <v>4.9</v>
      </c>
      <c r="AF23" s="94">
        <f t="shared" si="12"/>
        <v>5.2</v>
      </c>
      <c r="AG23" s="95">
        <f t="shared" si="12"/>
        <v>5.3999999999999995</v>
      </c>
      <c r="AH23" s="94">
        <f t="shared" si="12"/>
        <v>50.9</v>
      </c>
      <c r="AI23" s="94">
        <f aca="true" t="shared" si="13" ref="AI23:AQ23">SUM(AI18:AI22)</f>
        <v>90.6</v>
      </c>
      <c r="AJ23" s="94">
        <f t="shared" si="13"/>
        <v>23.200000000000003</v>
      </c>
      <c r="AK23" s="94">
        <f t="shared" si="13"/>
        <v>0.3</v>
      </c>
      <c r="AL23" s="93">
        <f t="shared" si="13"/>
        <v>28.7</v>
      </c>
      <c r="AM23" s="94">
        <f t="shared" si="13"/>
        <v>196.6</v>
      </c>
      <c r="AN23" s="94">
        <f t="shared" si="13"/>
        <v>4</v>
      </c>
      <c r="AO23" s="95">
        <f t="shared" si="13"/>
        <v>3</v>
      </c>
      <c r="AP23" s="94">
        <f t="shared" si="13"/>
        <v>10.2</v>
      </c>
      <c r="AQ23" s="94">
        <f t="shared" si="13"/>
        <v>32.800000000000004</v>
      </c>
    </row>
    <row r="24" spans="1:43" ht="12.75">
      <c r="A24" s="109"/>
      <c r="B24" s="39"/>
      <c r="C24" s="40"/>
      <c r="D24" s="40"/>
      <c r="E24" s="40"/>
      <c r="F24" s="39"/>
      <c r="G24" s="40"/>
      <c r="H24" s="40"/>
      <c r="I24" s="41"/>
      <c r="J24" s="39"/>
      <c r="K24" s="40"/>
      <c r="L24" s="40"/>
      <c r="M24" s="41"/>
      <c r="N24" s="39"/>
      <c r="O24" s="40"/>
      <c r="P24" s="40"/>
      <c r="Q24" s="41"/>
      <c r="R24" s="39"/>
      <c r="S24" s="40"/>
      <c r="T24" s="40"/>
      <c r="U24" s="41"/>
      <c r="V24" s="40"/>
      <c r="W24" s="40"/>
      <c r="X24" s="40"/>
      <c r="Y24" s="41"/>
      <c r="Z24" s="40"/>
      <c r="AA24" s="40"/>
      <c r="AB24" s="40"/>
      <c r="AC24" s="40"/>
      <c r="AD24" s="40"/>
      <c r="AE24" s="40"/>
      <c r="AF24" s="40"/>
      <c r="AG24" s="40"/>
      <c r="AH24" s="40"/>
      <c r="AI24" s="40"/>
      <c r="AJ24" s="40"/>
      <c r="AK24" s="40"/>
      <c r="AL24" s="39"/>
      <c r="AM24" s="40"/>
      <c r="AN24" s="40"/>
      <c r="AO24" s="41"/>
      <c r="AP24" s="40"/>
      <c r="AQ24" s="40"/>
    </row>
    <row r="25" spans="1:43" ht="12.75">
      <c r="A25" s="88" t="s">
        <v>104</v>
      </c>
      <c r="B25" s="39">
        <f>B26+B27</f>
        <v>0</v>
      </c>
      <c r="C25" s="40">
        <f aca="true" t="shared" si="14" ref="C25:W25">C26+C27</f>
        <v>-0.19999999999999996</v>
      </c>
      <c r="D25" s="40">
        <f t="shared" si="14"/>
        <v>1.6</v>
      </c>
      <c r="E25" s="40">
        <f t="shared" si="14"/>
        <v>-0.5999999999999996</v>
      </c>
      <c r="F25" s="39">
        <f t="shared" si="14"/>
        <v>0.6999999999999997</v>
      </c>
      <c r="G25" s="40">
        <f t="shared" si="14"/>
        <v>-0.7000000000000028</v>
      </c>
      <c r="H25" s="40">
        <f t="shared" si="14"/>
        <v>2.5</v>
      </c>
      <c r="I25" s="41">
        <f t="shared" si="14"/>
        <v>2.099999999999966</v>
      </c>
      <c r="J25" s="39">
        <f t="shared" si="14"/>
        <v>18</v>
      </c>
      <c r="K25" s="40">
        <f t="shared" si="14"/>
        <v>5.799999999999997</v>
      </c>
      <c r="L25" s="40">
        <f t="shared" si="14"/>
        <v>-6.800000000000004</v>
      </c>
      <c r="M25" s="41">
        <f t="shared" si="14"/>
        <v>3.299999999999997</v>
      </c>
      <c r="N25" s="39">
        <f t="shared" si="14"/>
        <v>-7</v>
      </c>
      <c r="O25" s="40">
        <f t="shared" si="14"/>
        <v>-15.300000000000011</v>
      </c>
      <c r="P25" s="40">
        <f t="shared" si="14"/>
        <v>-7.900000000000006</v>
      </c>
      <c r="Q25" s="41">
        <f t="shared" si="14"/>
        <v>18</v>
      </c>
      <c r="R25" s="39">
        <f t="shared" si="14"/>
        <v>-15.899999999999991</v>
      </c>
      <c r="S25" s="40">
        <f t="shared" si="14"/>
        <v>-5.6000000000000085</v>
      </c>
      <c r="T25" s="40">
        <f t="shared" si="14"/>
        <v>-21.900000000000006</v>
      </c>
      <c r="U25" s="41">
        <f t="shared" si="14"/>
        <v>7.699999999999999</v>
      </c>
      <c r="V25" s="40">
        <f t="shared" si="14"/>
        <v>2.3999999999999986</v>
      </c>
      <c r="W25" s="40">
        <f t="shared" si="14"/>
        <v>-5.600000000000001</v>
      </c>
      <c r="X25" s="40">
        <f aca="true" t="shared" si="15" ref="X25:AH25">X26+X27</f>
        <v>-2.1000000000000085</v>
      </c>
      <c r="Y25" s="41">
        <f t="shared" si="15"/>
        <v>-4.199999999999996</v>
      </c>
      <c r="Z25" s="40">
        <f t="shared" si="15"/>
        <v>2.200000000000003</v>
      </c>
      <c r="AA25" s="40">
        <f t="shared" si="15"/>
        <v>10.099999999999994</v>
      </c>
      <c r="AB25" s="40">
        <f t="shared" si="15"/>
        <v>15.999999999999998</v>
      </c>
      <c r="AC25" s="41">
        <f t="shared" si="15"/>
        <v>4.1</v>
      </c>
      <c r="AD25" s="40">
        <f t="shared" si="15"/>
        <v>-0.30000000000000426</v>
      </c>
      <c r="AE25" s="40">
        <f t="shared" si="15"/>
        <v>3.9000000000000057</v>
      </c>
      <c r="AF25" s="40">
        <f t="shared" si="15"/>
        <v>6.900000000000006</v>
      </c>
      <c r="AG25" s="41">
        <f t="shared" si="15"/>
        <v>-1.8999999999999986</v>
      </c>
      <c r="AH25" s="40">
        <f t="shared" si="15"/>
        <v>11.4</v>
      </c>
      <c r="AI25" s="40">
        <f aca="true" t="shared" si="16" ref="AI25:AQ25">AI26+AI27</f>
        <v>3.1000000000000085</v>
      </c>
      <c r="AJ25" s="40">
        <f t="shared" si="16"/>
        <v>2.8999999999999986</v>
      </c>
      <c r="AK25" s="40">
        <f t="shared" si="16"/>
        <v>4.400000000000002</v>
      </c>
      <c r="AL25" s="39">
        <f t="shared" si="16"/>
        <v>-2.6000000000000014</v>
      </c>
      <c r="AM25" s="40">
        <f t="shared" si="16"/>
        <v>0.5999999999999996</v>
      </c>
      <c r="AN25" s="40">
        <f t="shared" si="16"/>
        <v>0.9000000000000057</v>
      </c>
      <c r="AO25" s="41">
        <f t="shared" si="16"/>
        <v>-0.6000000000000227</v>
      </c>
      <c r="AP25" s="40">
        <f t="shared" si="16"/>
        <v>0</v>
      </c>
      <c r="AQ25" s="40">
        <f t="shared" si="16"/>
        <v>6.300000000000001</v>
      </c>
    </row>
    <row r="26" spans="1:43" ht="12.75">
      <c r="A26" s="38" t="s">
        <v>105</v>
      </c>
      <c r="B26" s="39">
        <v>0</v>
      </c>
      <c r="C26" s="40">
        <v>-1.2</v>
      </c>
      <c r="D26" s="40">
        <v>1</v>
      </c>
      <c r="E26" s="40">
        <v>-5.1</v>
      </c>
      <c r="F26" s="39">
        <v>3.8</v>
      </c>
      <c r="G26" s="40">
        <v>71.3</v>
      </c>
      <c r="H26" s="40">
        <v>-16.3</v>
      </c>
      <c r="I26" s="41">
        <v>268.2</v>
      </c>
      <c r="J26" s="39">
        <v>-24.6</v>
      </c>
      <c r="K26" s="40">
        <v>-112.4</v>
      </c>
      <c r="L26" s="40">
        <v>61.1</v>
      </c>
      <c r="M26" s="41">
        <v>-66.4</v>
      </c>
      <c r="N26" s="39">
        <v>133.1</v>
      </c>
      <c r="O26" s="40">
        <v>129.2</v>
      </c>
      <c r="P26" s="40">
        <v>76.1</v>
      </c>
      <c r="Q26" s="41">
        <v>-224.1</v>
      </c>
      <c r="R26" s="39">
        <v>-128.7</v>
      </c>
      <c r="S26" s="40">
        <v>76.3</v>
      </c>
      <c r="T26" s="40">
        <v>205.9</v>
      </c>
      <c r="U26" s="41">
        <v>20.4</v>
      </c>
      <c r="V26" s="40">
        <v>33.8</v>
      </c>
      <c r="W26" s="40">
        <v>57.8</v>
      </c>
      <c r="X26" s="40">
        <v>70.1</v>
      </c>
      <c r="Y26" s="41">
        <v>42.2</v>
      </c>
      <c r="Z26" s="40">
        <f>-66.6+20.9</f>
        <v>-45.699999999999996</v>
      </c>
      <c r="AA26" s="40">
        <f>-123.2-6.8</f>
        <v>-130</v>
      </c>
      <c r="AB26" s="40">
        <f>-1.1-3</f>
        <v>-4.1</v>
      </c>
      <c r="AC26" s="41">
        <v>-13.4</v>
      </c>
      <c r="AD26" s="40">
        <f>53.6-0.2</f>
        <v>53.4</v>
      </c>
      <c r="AE26" s="40">
        <v>93.7</v>
      </c>
      <c r="AF26" s="40">
        <v>65.4</v>
      </c>
      <c r="AG26" s="41">
        <v>22</v>
      </c>
      <c r="AH26" s="40">
        <v>1.3</v>
      </c>
      <c r="AI26" s="40">
        <v>-112.8</v>
      </c>
      <c r="AJ26" s="40">
        <v>22.2</v>
      </c>
      <c r="AK26" s="40">
        <v>-23.9</v>
      </c>
      <c r="AL26" s="39">
        <v>46.3</v>
      </c>
      <c r="AM26" s="40">
        <v>-15.1</v>
      </c>
      <c r="AN26" s="40">
        <v>-82.1</v>
      </c>
      <c r="AO26" s="41">
        <v>-225.8</v>
      </c>
      <c r="AP26" s="40">
        <v>-27.5</v>
      </c>
      <c r="AQ26" s="40">
        <v>-20.7</v>
      </c>
    </row>
    <row r="27" spans="1:43" ht="12.75">
      <c r="A27" s="38" t="s">
        <v>106</v>
      </c>
      <c r="B27" s="39">
        <v>0</v>
      </c>
      <c r="C27" s="40">
        <v>1</v>
      </c>
      <c r="D27" s="40">
        <v>0.6</v>
      </c>
      <c r="E27" s="40">
        <v>4.5</v>
      </c>
      <c r="F27" s="39">
        <v>-3.1</v>
      </c>
      <c r="G27" s="40">
        <v>-72</v>
      </c>
      <c r="H27" s="40">
        <v>18.8</v>
      </c>
      <c r="I27" s="41">
        <v>-266.1</v>
      </c>
      <c r="J27" s="39">
        <v>42.6</v>
      </c>
      <c r="K27" s="40">
        <v>118.2</v>
      </c>
      <c r="L27" s="40">
        <v>-67.9</v>
      </c>
      <c r="M27" s="41">
        <v>69.7</v>
      </c>
      <c r="N27" s="39">
        <v>-140.1</v>
      </c>
      <c r="O27" s="40">
        <v>-144.5</v>
      </c>
      <c r="P27" s="40">
        <v>-84</v>
      </c>
      <c r="Q27" s="41">
        <v>242.1</v>
      </c>
      <c r="R27" s="39">
        <v>112.8</v>
      </c>
      <c r="S27" s="40">
        <v>-81.9</v>
      </c>
      <c r="T27" s="40">
        <v>-227.8</v>
      </c>
      <c r="U27" s="41">
        <v>-12.7</v>
      </c>
      <c r="V27" s="40">
        <v>-31.4</v>
      </c>
      <c r="W27" s="40">
        <v>-63.4</v>
      </c>
      <c r="X27" s="40">
        <v>-72.2</v>
      </c>
      <c r="Y27" s="41">
        <v>-46.4</v>
      </c>
      <c r="Z27" s="40">
        <f>46.9+1</f>
        <v>47.9</v>
      </c>
      <c r="AA27" s="40">
        <f>134.9+5.2</f>
        <v>140.1</v>
      </c>
      <c r="AB27" s="40">
        <f>3.9+16.2</f>
        <v>20.099999999999998</v>
      </c>
      <c r="AC27" s="41">
        <v>17.5</v>
      </c>
      <c r="AD27" s="40">
        <f>-54.1+0.4</f>
        <v>-53.7</v>
      </c>
      <c r="AE27" s="40">
        <v>-89.8</v>
      </c>
      <c r="AF27" s="40">
        <v>-58.5</v>
      </c>
      <c r="AG27" s="41">
        <v>-23.9</v>
      </c>
      <c r="AH27" s="40">
        <v>10.1</v>
      </c>
      <c r="AI27" s="40">
        <v>115.9</v>
      </c>
      <c r="AJ27" s="40">
        <v>-19.3</v>
      </c>
      <c r="AK27" s="40">
        <v>28.3</v>
      </c>
      <c r="AL27" s="39">
        <v>-48.9</v>
      </c>
      <c r="AM27" s="40">
        <v>15.7</v>
      </c>
      <c r="AN27" s="40">
        <v>83</v>
      </c>
      <c r="AO27" s="41">
        <v>225.2</v>
      </c>
      <c r="AP27" s="40">
        <v>27.5</v>
      </c>
      <c r="AQ27" s="40">
        <v>27</v>
      </c>
    </row>
    <row r="28" spans="1:43" s="13" customFormat="1" ht="12.75">
      <c r="A28" s="88" t="s">
        <v>107</v>
      </c>
      <c r="B28" s="39">
        <f>B29</f>
        <v>0</v>
      </c>
      <c r="C28" s="40">
        <f aca="true" t="shared" si="17" ref="C28:V28">C29</f>
        <v>0</v>
      </c>
      <c r="D28" s="40">
        <f t="shared" si="17"/>
        <v>0</v>
      </c>
      <c r="E28" s="40">
        <f t="shared" si="17"/>
        <v>0</v>
      </c>
      <c r="F28" s="39">
        <f t="shared" si="17"/>
        <v>0</v>
      </c>
      <c r="G28" s="40">
        <f t="shared" si="17"/>
        <v>0</v>
      </c>
      <c r="H28" s="40">
        <f t="shared" si="17"/>
        <v>0.2</v>
      </c>
      <c r="I28" s="40">
        <f t="shared" si="17"/>
        <v>-0.2</v>
      </c>
      <c r="J28" s="39">
        <f t="shared" si="17"/>
        <v>-0.1</v>
      </c>
      <c r="K28" s="40">
        <f t="shared" si="17"/>
        <v>0.2</v>
      </c>
      <c r="L28" s="40">
        <f t="shared" si="17"/>
        <v>0.1</v>
      </c>
      <c r="M28" s="40">
        <f t="shared" si="17"/>
        <v>-0.4</v>
      </c>
      <c r="N28" s="39">
        <f t="shared" si="17"/>
        <v>0.1</v>
      </c>
      <c r="O28" s="40">
        <f t="shared" si="17"/>
        <v>0</v>
      </c>
      <c r="P28" s="40">
        <f t="shared" si="17"/>
        <v>0</v>
      </c>
      <c r="Q28" s="40">
        <f t="shared" si="17"/>
        <v>0</v>
      </c>
      <c r="R28" s="39">
        <f t="shared" si="17"/>
        <v>-0.4</v>
      </c>
      <c r="S28" s="40">
        <f t="shared" si="17"/>
        <v>2.4</v>
      </c>
      <c r="T28" s="40">
        <f t="shared" si="17"/>
        <v>-1.7</v>
      </c>
      <c r="U28" s="40">
        <f t="shared" si="17"/>
        <v>2</v>
      </c>
      <c r="V28" s="39">
        <f t="shared" si="17"/>
        <v>-0.7</v>
      </c>
      <c r="W28" s="40">
        <f aca="true" t="shared" si="18" ref="W28:AF28">SUM(W29)</f>
        <v>0.4</v>
      </c>
      <c r="X28" s="40">
        <f t="shared" si="18"/>
        <v>-3.4</v>
      </c>
      <c r="Y28" s="41">
        <f t="shared" si="18"/>
        <v>-0.1</v>
      </c>
      <c r="Z28" s="40">
        <f t="shared" si="18"/>
        <v>0.7</v>
      </c>
      <c r="AA28" s="40">
        <f t="shared" si="18"/>
        <v>-0.2</v>
      </c>
      <c r="AB28" s="40">
        <f t="shared" si="18"/>
        <v>-0.5</v>
      </c>
      <c r="AC28" s="41">
        <f t="shared" si="18"/>
        <v>-0.4</v>
      </c>
      <c r="AD28" s="40">
        <f t="shared" si="18"/>
        <v>1.1</v>
      </c>
      <c r="AE28" s="40">
        <f t="shared" si="18"/>
        <v>-0.9</v>
      </c>
      <c r="AF28" s="40">
        <f t="shared" si="18"/>
        <v>0.3</v>
      </c>
      <c r="AG28" s="41">
        <v>-0.2</v>
      </c>
      <c r="AH28" s="40">
        <v>0</v>
      </c>
      <c r="AI28" s="40">
        <f>SUM(AI29)</f>
        <v>0.2</v>
      </c>
      <c r="AJ28" s="40">
        <f>SUM(AJ29)</f>
        <v>-0.3</v>
      </c>
      <c r="AK28" s="40">
        <f>SUM(AK29)</f>
        <v>1.2</v>
      </c>
      <c r="AL28" s="39">
        <v>0</v>
      </c>
      <c r="AM28" s="40">
        <v>-0.1</v>
      </c>
      <c r="AN28" s="40">
        <v>-0.7</v>
      </c>
      <c r="AO28" s="41">
        <v>-0.1</v>
      </c>
      <c r="AP28" s="40">
        <v>0.4</v>
      </c>
      <c r="AQ28" s="40">
        <v>0.3</v>
      </c>
    </row>
    <row r="29" spans="1:43" ht="12.75">
      <c r="A29" s="103" t="s">
        <v>108</v>
      </c>
      <c r="B29" s="39">
        <v>0</v>
      </c>
      <c r="C29" s="40">
        <v>0</v>
      </c>
      <c r="D29" s="40">
        <v>0</v>
      </c>
      <c r="E29" s="40">
        <v>0</v>
      </c>
      <c r="F29" s="39">
        <v>0</v>
      </c>
      <c r="G29" s="40">
        <v>0</v>
      </c>
      <c r="H29" s="40">
        <v>0.2</v>
      </c>
      <c r="I29" s="41">
        <v>-0.2</v>
      </c>
      <c r="J29" s="39">
        <v>-0.1</v>
      </c>
      <c r="K29" s="40">
        <v>0.2</v>
      </c>
      <c r="L29" s="40">
        <v>0.1</v>
      </c>
      <c r="M29" s="41">
        <v>-0.4</v>
      </c>
      <c r="N29" s="39">
        <v>0.1</v>
      </c>
      <c r="O29" s="40">
        <v>0</v>
      </c>
      <c r="P29" s="40">
        <v>0</v>
      </c>
      <c r="Q29" s="41">
        <v>0</v>
      </c>
      <c r="R29" s="39">
        <v>-0.4</v>
      </c>
      <c r="S29" s="40">
        <v>2.4</v>
      </c>
      <c r="T29" s="40">
        <v>-1.7</v>
      </c>
      <c r="U29" s="41">
        <v>2</v>
      </c>
      <c r="V29" s="40">
        <v>-0.7</v>
      </c>
      <c r="W29" s="40">
        <v>0.4</v>
      </c>
      <c r="X29" s="40">
        <v>-3.4</v>
      </c>
      <c r="Y29" s="41">
        <v>-0.1</v>
      </c>
      <c r="Z29" s="40">
        <v>0.7</v>
      </c>
      <c r="AA29" s="40">
        <v>-0.2</v>
      </c>
      <c r="AB29" s="40">
        <v>-0.5</v>
      </c>
      <c r="AC29" s="41">
        <v>-0.4</v>
      </c>
      <c r="AD29" s="40">
        <v>1.1</v>
      </c>
      <c r="AE29" s="40">
        <v>-0.9</v>
      </c>
      <c r="AF29" s="40">
        <v>0.3</v>
      </c>
      <c r="AG29" s="41">
        <v>-0.2</v>
      </c>
      <c r="AH29" s="40">
        <v>0</v>
      </c>
      <c r="AI29" s="40">
        <v>0.2</v>
      </c>
      <c r="AJ29" s="40">
        <v>-0.3</v>
      </c>
      <c r="AK29" s="40">
        <v>1.2</v>
      </c>
      <c r="AL29" s="39">
        <v>0</v>
      </c>
      <c r="AM29" s="40">
        <v>-0.1</v>
      </c>
      <c r="AN29" s="40">
        <v>-0.7</v>
      </c>
      <c r="AO29" s="41">
        <v>-0.1</v>
      </c>
      <c r="AP29" s="40">
        <v>0.4</v>
      </c>
      <c r="AQ29" s="40">
        <v>0.3</v>
      </c>
    </row>
    <row r="30" spans="1:43" s="13" customFormat="1" ht="12.75">
      <c r="A30" s="98" t="s">
        <v>109</v>
      </c>
      <c r="B30" s="93">
        <f>B25+B28</f>
        <v>0</v>
      </c>
      <c r="C30" s="94">
        <f aca="true" t="shared" si="19" ref="C30:W30">C25+C28</f>
        <v>-0.19999999999999996</v>
      </c>
      <c r="D30" s="94">
        <f t="shared" si="19"/>
        <v>1.6</v>
      </c>
      <c r="E30" s="94">
        <f t="shared" si="19"/>
        <v>-0.5999999999999996</v>
      </c>
      <c r="F30" s="93">
        <f t="shared" si="19"/>
        <v>0.6999999999999997</v>
      </c>
      <c r="G30" s="94">
        <f t="shared" si="19"/>
        <v>-0.7000000000000028</v>
      </c>
      <c r="H30" s="94">
        <f t="shared" si="19"/>
        <v>2.7</v>
      </c>
      <c r="I30" s="95">
        <f t="shared" si="19"/>
        <v>1.899999999999966</v>
      </c>
      <c r="J30" s="93">
        <f t="shared" si="19"/>
        <v>17.9</v>
      </c>
      <c r="K30" s="94">
        <f t="shared" si="19"/>
        <v>5.999999999999997</v>
      </c>
      <c r="L30" s="94">
        <f t="shared" si="19"/>
        <v>-6.700000000000005</v>
      </c>
      <c r="M30" s="95">
        <f t="shared" si="19"/>
        <v>2.8999999999999972</v>
      </c>
      <c r="N30" s="93">
        <f t="shared" si="19"/>
        <v>-6.9</v>
      </c>
      <c r="O30" s="94">
        <f t="shared" si="19"/>
        <v>-15.300000000000011</v>
      </c>
      <c r="P30" s="94">
        <f t="shared" si="19"/>
        <v>-7.900000000000006</v>
      </c>
      <c r="Q30" s="95">
        <f t="shared" si="19"/>
        <v>18</v>
      </c>
      <c r="R30" s="93">
        <f t="shared" si="19"/>
        <v>-16.29999999999999</v>
      </c>
      <c r="S30" s="94">
        <f t="shared" si="19"/>
        <v>-3.2000000000000086</v>
      </c>
      <c r="T30" s="94">
        <f t="shared" si="19"/>
        <v>-23.600000000000005</v>
      </c>
      <c r="U30" s="95">
        <f t="shared" si="19"/>
        <v>9.7</v>
      </c>
      <c r="V30" s="94">
        <f t="shared" si="19"/>
        <v>1.6999999999999986</v>
      </c>
      <c r="W30" s="94">
        <f t="shared" si="19"/>
        <v>-5.200000000000001</v>
      </c>
      <c r="X30" s="94">
        <f aca="true" t="shared" si="20" ref="X30:AH30">X25+X28</f>
        <v>-5.500000000000009</v>
      </c>
      <c r="Y30" s="95">
        <f t="shared" si="20"/>
        <v>-4.299999999999995</v>
      </c>
      <c r="Z30" s="94">
        <f t="shared" si="20"/>
        <v>2.900000000000003</v>
      </c>
      <c r="AA30" s="94">
        <f t="shared" si="20"/>
        <v>9.899999999999995</v>
      </c>
      <c r="AB30" s="94">
        <f t="shared" si="20"/>
        <v>15.499999999999998</v>
      </c>
      <c r="AC30" s="95">
        <f t="shared" si="20"/>
        <v>3.6999999999999997</v>
      </c>
      <c r="AD30" s="94">
        <f t="shared" si="20"/>
        <v>0.7999999999999958</v>
      </c>
      <c r="AE30" s="94">
        <f t="shared" si="20"/>
        <v>3.0000000000000058</v>
      </c>
      <c r="AF30" s="94">
        <f t="shared" si="20"/>
        <v>7.2000000000000055</v>
      </c>
      <c r="AG30" s="95">
        <f t="shared" si="20"/>
        <v>-2.0999999999999988</v>
      </c>
      <c r="AH30" s="94">
        <f t="shared" si="20"/>
        <v>11.4</v>
      </c>
      <c r="AI30" s="94">
        <f aca="true" t="shared" si="21" ref="AI30:AQ30">AI25+AI28</f>
        <v>3.3000000000000087</v>
      </c>
      <c r="AJ30" s="94">
        <f t="shared" si="21"/>
        <v>2.5999999999999988</v>
      </c>
      <c r="AK30" s="94">
        <f t="shared" si="21"/>
        <v>5.600000000000002</v>
      </c>
      <c r="AL30" s="93">
        <f t="shared" si="21"/>
        <v>-2.6000000000000014</v>
      </c>
      <c r="AM30" s="94">
        <f t="shared" si="21"/>
        <v>0.49999999999999967</v>
      </c>
      <c r="AN30" s="94">
        <f t="shared" si="21"/>
        <v>0.20000000000000573</v>
      </c>
      <c r="AO30" s="95">
        <f t="shared" si="21"/>
        <v>-0.7000000000000227</v>
      </c>
      <c r="AP30" s="94">
        <f t="shared" si="21"/>
        <v>0.4</v>
      </c>
      <c r="AQ30" s="94">
        <f t="shared" si="21"/>
        <v>6.6000000000000005</v>
      </c>
    </row>
    <row r="31" spans="1:29" ht="12.7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AC31" s="86"/>
    </row>
    <row r="32" spans="1:35"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I32" s="96"/>
    </row>
    <row r="33" spans="1:35" ht="12.75">
      <c r="A33" s="3"/>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I33" s="96"/>
    </row>
    <row r="34" ht="12.75">
      <c r="A34" s="3"/>
    </row>
    <row r="35" spans="1:30" ht="12.75">
      <c r="A35" s="3"/>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5" ht="12.75">
      <c r="A36" s="3"/>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I36" s="96"/>
    </row>
    <row r="37" spans="1:35" ht="12.75">
      <c r="A37" s="3"/>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I37" s="96"/>
    </row>
    <row r="38" spans="1:35" ht="12.75">
      <c r="A38" s="3"/>
      <c r="Z38" s="96"/>
      <c r="AA38" s="96"/>
      <c r="AB38" s="96"/>
      <c r="AC38" s="96"/>
      <c r="AD38" s="96"/>
      <c r="AE38" s="96"/>
      <c r="AF38" s="96"/>
      <c r="AI38" s="96"/>
    </row>
    <row r="39" ht="12.75">
      <c r="A39" s="3"/>
    </row>
  </sheetData>
  <sheetProtection/>
  <mergeCells count="12">
    <mergeCell ref="AH2:AK2"/>
    <mergeCell ref="AL2:AO2"/>
    <mergeCell ref="AP2:AQ2"/>
    <mergeCell ref="A2:A3"/>
    <mergeCell ref="B2:E2"/>
    <mergeCell ref="F2:I2"/>
    <mergeCell ref="J2:M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50" r:id="rId1"/>
  <headerFooter alignWithMargins="0">
    <oddHeader>&amp;C&amp;"Times New Roman,Kursywa"&amp;12
</oddHeader>
  </headerFooter>
  <ignoredErrors>
    <ignoredError sqref="V8:AK30 AL8:AQ8" formulaRange="1"/>
  </ignoredErrors>
</worksheet>
</file>

<file path=xl/worksheets/sheet8.xml><?xml version="1.0" encoding="utf-8"?>
<worksheet xmlns="http://schemas.openxmlformats.org/spreadsheetml/2006/main" xmlns:r="http://schemas.openxmlformats.org/officeDocument/2006/relationships">
  <sheetPr>
    <outlinePr summaryBelow="0"/>
  </sheetPr>
  <dimension ref="A1:AS62"/>
  <sheetViews>
    <sheetView showGridLines="0" view="pageBreakPreview" zoomScaleSheetLayoutView="100" zoomScalePageLayoutView="80" workbookViewId="0" topLeftCell="A1">
      <pane xSplit="1" ySplit="4" topLeftCell="AA5"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Row="1"/>
  <cols>
    <col min="1" max="1" width="56.75390625" style="2" customWidth="1"/>
    <col min="2" max="2" width="7.625" style="12" bestFit="1" customWidth="1"/>
    <col min="3" max="5" width="7.00390625" style="12" bestFit="1" customWidth="1"/>
    <col min="6" max="9" width="7.625" style="12" bestFit="1" customWidth="1"/>
    <col min="10" max="13" width="7.00390625" style="12" bestFit="1" customWidth="1"/>
    <col min="14" max="29" width="7.625" style="12" bestFit="1" customWidth="1"/>
    <col min="30" max="30" width="7.625" style="12" customWidth="1"/>
    <col min="31" max="33" width="7.625" style="12" bestFit="1" customWidth="1"/>
    <col min="34" max="34" width="7.625" style="12" customWidth="1"/>
    <col min="35" max="38" width="7.625" style="12" bestFit="1" customWidth="1"/>
    <col min="39" max="39" width="7.625" style="12" customWidth="1"/>
    <col min="40" max="41" width="7.625" style="12" bestFit="1" customWidth="1"/>
    <col min="42" max="42" width="7.875" style="12" bestFit="1" customWidth="1"/>
    <col min="43" max="43" width="7.75390625" style="3" customWidth="1"/>
    <col min="44" max="16384" width="8.875" style="3" customWidth="1"/>
  </cols>
  <sheetData>
    <row r="1" ht="12.75" customHeight="1">
      <c r="A1" s="316" t="s">
        <v>357</v>
      </c>
    </row>
    <row r="2" spans="1:45" ht="12.75" customHeight="1">
      <c r="A2" s="332" t="s">
        <v>29</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40">
        <v>2013</v>
      </c>
      <c r="AA2" s="335"/>
      <c r="AB2" s="335"/>
      <c r="AC2" s="336"/>
      <c r="AD2" s="340">
        <v>2014</v>
      </c>
      <c r="AE2" s="335"/>
      <c r="AF2" s="335"/>
      <c r="AG2" s="336"/>
      <c r="AH2" s="340">
        <v>2015</v>
      </c>
      <c r="AI2" s="335"/>
      <c r="AJ2" s="335"/>
      <c r="AK2" s="336"/>
      <c r="AL2" s="340">
        <v>2016</v>
      </c>
      <c r="AM2" s="335"/>
      <c r="AN2" s="335"/>
      <c r="AO2" s="335"/>
      <c r="AP2" s="340">
        <v>2017</v>
      </c>
      <c r="AQ2" s="335"/>
      <c r="AR2" s="325"/>
      <c r="AS2" s="325"/>
    </row>
    <row r="3" spans="1:43" s="4" customFormat="1" ht="36"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1" t="s">
        <v>0</v>
      </c>
      <c r="AI3" s="191" t="s">
        <v>1</v>
      </c>
      <c r="AJ3" s="191" t="s">
        <v>2</v>
      </c>
      <c r="AK3" s="192" t="s">
        <v>3</v>
      </c>
      <c r="AL3" s="191" t="s">
        <v>0</v>
      </c>
      <c r="AM3" s="191" t="s">
        <v>1</v>
      </c>
      <c r="AN3" s="191" t="s">
        <v>2</v>
      </c>
      <c r="AO3" s="192" t="s">
        <v>3</v>
      </c>
      <c r="AP3" s="191" t="s">
        <v>0</v>
      </c>
      <c r="AQ3" s="191" t="s">
        <v>1</v>
      </c>
    </row>
    <row r="4" spans="1:43" s="29" customFormat="1" ht="11.25" customHeight="1">
      <c r="A4" s="20" t="s">
        <v>5</v>
      </c>
      <c r="B4" s="26"/>
      <c r="C4" s="27"/>
      <c r="D4" s="27"/>
      <c r="E4" s="27"/>
      <c r="F4" s="26"/>
      <c r="G4" s="27"/>
      <c r="H4" s="27"/>
      <c r="I4" s="28"/>
      <c r="J4" s="26"/>
      <c r="K4" s="27"/>
      <c r="L4" s="27"/>
      <c r="M4" s="28"/>
      <c r="N4" s="26"/>
      <c r="O4" s="27"/>
      <c r="P4" s="27"/>
      <c r="Q4" s="28"/>
      <c r="R4" s="26"/>
      <c r="S4" s="27"/>
      <c r="T4" s="27"/>
      <c r="U4" s="28"/>
      <c r="V4" s="27"/>
      <c r="W4" s="27"/>
      <c r="X4" s="27"/>
      <c r="Y4" s="28"/>
      <c r="Z4" s="26"/>
      <c r="AA4" s="27"/>
      <c r="AB4" s="27"/>
      <c r="AC4" s="28"/>
      <c r="AD4" s="26"/>
      <c r="AE4" s="27"/>
      <c r="AF4" s="27"/>
      <c r="AG4" s="28"/>
      <c r="AH4" s="27"/>
      <c r="AI4" s="27"/>
      <c r="AJ4" s="27"/>
      <c r="AK4" s="28"/>
      <c r="AL4" s="27"/>
      <c r="AM4" s="27"/>
      <c r="AN4" s="27"/>
      <c r="AO4" s="28"/>
      <c r="AP4" s="27"/>
      <c r="AQ4" s="27"/>
    </row>
    <row r="5" spans="1:43" s="7" customFormat="1" ht="12.75">
      <c r="A5" s="37" t="s">
        <v>48</v>
      </c>
      <c r="B5" s="26"/>
      <c r="C5" s="110"/>
      <c r="D5" s="27"/>
      <c r="E5" s="110"/>
      <c r="F5" s="26"/>
      <c r="G5" s="110"/>
      <c r="H5" s="27"/>
      <c r="I5" s="111"/>
      <c r="J5" s="26"/>
      <c r="K5" s="110"/>
      <c r="L5" s="27"/>
      <c r="M5" s="111"/>
      <c r="N5" s="26"/>
      <c r="O5" s="110"/>
      <c r="P5" s="27"/>
      <c r="Q5" s="111"/>
      <c r="R5" s="26"/>
      <c r="S5" s="110"/>
      <c r="T5" s="27"/>
      <c r="U5" s="111"/>
      <c r="V5" s="27"/>
      <c r="W5" s="27"/>
      <c r="X5" s="27"/>
      <c r="Y5" s="28"/>
      <c r="Z5" s="26"/>
      <c r="AA5" s="27"/>
      <c r="AB5" s="27"/>
      <c r="AC5" s="28"/>
      <c r="AD5" s="26"/>
      <c r="AE5" s="27"/>
      <c r="AF5" s="27"/>
      <c r="AG5" s="28"/>
      <c r="AH5" s="27"/>
      <c r="AI5" s="27"/>
      <c r="AJ5" s="27"/>
      <c r="AK5" s="28"/>
      <c r="AL5" s="27"/>
      <c r="AM5" s="27"/>
      <c r="AN5" s="27"/>
      <c r="AO5" s="28"/>
      <c r="AP5" s="27"/>
      <c r="AQ5" s="27"/>
    </row>
    <row r="6" spans="1:43" s="7" customFormat="1" ht="12.75">
      <c r="A6" s="87" t="s">
        <v>30</v>
      </c>
      <c r="B6" s="39">
        <v>1807.6</v>
      </c>
      <c r="C6" s="40">
        <v>2608.9</v>
      </c>
      <c r="D6" s="40">
        <v>1593</v>
      </c>
      <c r="E6" s="40">
        <v>1841.7</v>
      </c>
      <c r="F6" s="39">
        <v>1661.3</v>
      </c>
      <c r="G6" s="40">
        <v>1622.9</v>
      </c>
      <c r="H6" s="40">
        <v>2151.3</v>
      </c>
      <c r="I6" s="41">
        <v>1369.8</v>
      </c>
      <c r="J6" s="39">
        <v>1584.3</v>
      </c>
      <c r="K6" s="40">
        <v>903.3</v>
      </c>
      <c r="L6" s="40">
        <v>1686</v>
      </c>
      <c r="M6" s="41">
        <v>2656.6</v>
      </c>
      <c r="N6" s="39">
        <v>2387.8</v>
      </c>
      <c r="O6" s="40">
        <v>2158.5</v>
      </c>
      <c r="P6" s="40">
        <v>1265.1</v>
      </c>
      <c r="Q6" s="41">
        <v>2394.2</v>
      </c>
      <c r="R6" s="39">
        <v>1401.5</v>
      </c>
      <c r="S6" s="40">
        <v>1566.6</v>
      </c>
      <c r="T6" s="40">
        <v>4064.9</v>
      </c>
      <c r="U6" s="41">
        <v>1493.1</v>
      </c>
      <c r="V6" s="40">
        <v>1558.1</v>
      </c>
      <c r="W6" s="40">
        <v>2321.2</v>
      </c>
      <c r="X6" s="40">
        <v>2126</v>
      </c>
      <c r="Y6" s="41">
        <v>4071.6</v>
      </c>
      <c r="Z6" s="39">
        <v>3534.4</v>
      </c>
      <c r="AA6" s="40">
        <v>1673.5</v>
      </c>
      <c r="AB6" s="40">
        <v>4577.6</v>
      </c>
      <c r="AC6" s="41">
        <v>6970.1</v>
      </c>
      <c r="AD6" s="39">
        <v>7304.2</v>
      </c>
      <c r="AE6" s="40">
        <v>7857.1</v>
      </c>
      <c r="AF6" s="40">
        <v>3008</v>
      </c>
      <c r="AG6" s="41">
        <v>5330.7</v>
      </c>
      <c r="AH6" s="40">
        <v>2392.5</v>
      </c>
      <c r="AI6" s="40">
        <v>2864.7</v>
      </c>
      <c r="AJ6" s="40">
        <v>3940.7</v>
      </c>
      <c r="AK6" s="41">
        <v>3589.7</v>
      </c>
      <c r="AL6" s="40">
        <v>3565.7</v>
      </c>
      <c r="AM6" s="40">
        <v>1286.6</v>
      </c>
      <c r="AN6" s="40">
        <v>1299.1</v>
      </c>
      <c r="AO6" s="41">
        <v>1825</v>
      </c>
      <c r="AP6" s="40">
        <v>1250</v>
      </c>
      <c r="AQ6" s="40">
        <v>1351.9</v>
      </c>
    </row>
    <row r="7" spans="1:43" s="7" customFormat="1" ht="12.75">
      <c r="A7" s="87" t="s">
        <v>31</v>
      </c>
      <c r="B7" s="39">
        <v>16614.2</v>
      </c>
      <c r="C7" s="40">
        <v>18078.9</v>
      </c>
      <c r="D7" s="40">
        <v>17532.8</v>
      </c>
      <c r="E7" s="40">
        <v>15183.7</v>
      </c>
      <c r="F7" s="39">
        <v>14080.6</v>
      </c>
      <c r="G7" s="40">
        <v>9002</v>
      </c>
      <c r="H7" s="40">
        <v>7244.5</v>
      </c>
      <c r="I7" s="41">
        <v>7787.2</v>
      </c>
      <c r="J7" s="39">
        <v>2947.5</v>
      </c>
      <c r="K7" s="40">
        <v>3233.7</v>
      </c>
      <c r="L7" s="40">
        <v>3639.9</v>
      </c>
      <c r="M7" s="41">
        <v>1184.1</v>
      </c>
      <c r="N7" s="39">
        <v>1280.7</v>
      </c>
      <c r="O7" s="40">
        <v>1940.1</v>
      </c>
      <c r="P7" s="40">
        <v>1859.2</v>
      </c>
      <c r="Q7" s="41">
        <v>1181.1</v>
      </c>
      <c r="R7" s="39">
        <v>2386.8</v>
      </c>
      <c r="S7" s="40">
        <v>1758.3</v>
      </c>
      <c r="T7" s="40">
        <v>2706.4</v>
      </c>
      <c r="U7" s="41">
        <v>1018.1</v>
      </c>
      <c r="V7" s="40">
        <v>1478.4</v>
      </c>
      <c r="W7" s="40">
        <v>1605.3000000000002</v>
      </c>
      <c r="X7" s="40">
        <v>3415.4999999999995</v>
      </c>
      <c r="Y7" s="41">
        <v>1377.0999999999997</v>
      </c>
      <c r="Z7" s="39">
        <v>1600.2999999999995</v>
      </c>
      <c r="AA7" s="40">
        <v>2043.8000000000002</v>
      </c>
      <c r="AB7" s="40">
        <v>2501.7</v>
      </c>
      <c r="AC7" s="41">
        <v>1399.8000000000002</v>
      </c>
      <c r="AD7" s="39">
        <v>2050.9</v>
      </c>
      <c r="AE7" s="40">
        <v>2576.1000000000004</v>
      </c>
      <c r="AF7" s="40">
        <v>2512.600000000001</v>
      </c>
      <c r="AG7" s="41">
        <v>1838.3000000000002</v>
      </c>
      <c r="AH7" s="40">
        <v>2111.2999999999997</v>
      </c>
      <c r="AI7" s="40">
        <v>2315.4</v>
      </c>
      <c r="AJ7" s="40">
        <v>3325.7</v>
      </c>
      <c r="AK7" s="41">
        <v>1014.6</v>
      </c>
      <c r="AL7" s="40">
        <v>954.3</v>
      </c>
      <c r="AM7" s="40">
        <v>1285.4</v>
      </c>
      <c r="AN7" s="40">
        <v>1192.7</v>
      </c>
      <c r="AO7" s="41">
        <v>1113.4</v>
      </c>
      <c r="AP7" s="40">
        <v>1125.7</v>
      </c>
      <c r="AQ7" s="40">
        <v>1050.2</v>
      </c>
    </row>
    <row r="8" spans="1:43" s="7" customFormat="1" ht="12.75">
      <c r="A8" s="87" t="s">
        <v>32</v>
      </c>
      <c r="B8" s="39">
        <v>10221.1</v>
      </c>
      <c r="C8" s="40">
        <v>6148.3</v>
      </c>
      <c r="D8" s="40">
        <v>7099.7</v>
      </c>
      <c r="E8" s="40">
        <v>6256.5</v>
      </c>
      <c r="F8" s="39">
        <v>9177.2</v>
      </c>
      <c r="G8" s="40">
        <v>8974.2</v>
      </c>
      <c r="H8" s="40">
        <v>11196.3</v>
      </c>
      <c r="I8" s="41">
        <v>10548.8</v>
      </c>
      <c r="J8" s="39">
        <v>11977.4</v>
      </c>
      <c r="K8" s="40">
        <v>10822.1</v>
      </c>
      <c r="L8" s="40">
        <v>12177.7</v>
      </c>
      <c r="M8" s="41">
        <v>8267.7</v>
      </c>
      <c r="N8" s="39">
        <v>3758.4</v>
      </c>
      <c r="O8" s="40">
        <v>1451.5</v>
      </c>
      <c r="P8" s="40">
        <v>3945.7</v>
      </c>
      <c r="Q8" s="41">
        <v>659.6</v>
      </c>
      <c r="R8" s="39">
        <v>576.9</v>
      </c>
      <c r="S8" s="40">
        <v>572.5</v>
      </c>
      <c r="T8" s="40">
        <v>1120.5</v>
      </c>
      <c r="U8" s="41">
        <v>639.6</v>
      </c>
      <c r="V8" s="40">
        <v>1425.7</v>
      </c>
      <c r="W8" s="40">
        <v>791.5</v>
      </c>
      <c r="X8" s="40">
        <v>1522.6</v>
      </c>
      <c r="Y8" s="41">
        <v>1554.6</v>
      </c>
      <c r="Z8" s="39">
        <v>1412.1</v>
      </c>
      <c r="AA8" s="40">
        <v>2057.4</v>
      </c>
      <c r="AB8" s="40">
        <v>1603.7</v>
      </c>
      <c r="AC8" s="41">
        <v>1951.4</v>
      </c>
      <c r="AD8" s="39">
        <v>2700.3</v>
      </c>
      <c r="AE8" s="40">
        <v>2903.7</v>
      </c>
      <c r="AF8" s="40">
        <v>1455.3999999999999</v>
      </c>
      <c r="AG8" s="41">
        <v>1856.8000000000002</v>
      </c>
      <c r="AH8" s="40">
        <v>2645.7000000000003</v>
      </c>
      <c r="AI8" s="40">
        <v>1755.6</v>
      </c>
      <c r="AJ8" s="40">
        <v>2769.2000000000003</v>
      </c>
      <c r="AK8" s="41">
        <v>1127.1</v>
      </c>
      <c r="AL8" s="40">
        <v>2067.7</v>
      </c>
      <c r="AM8" s="40">
        <v>1847.3</v>
      </c>
      <c r="AN8" s="40">
        <v>1617.3</v>
      </c>
      <c r="AO8" s="41">
        <v>2826.8</v>
      </c>
      <c r="AP8" s="40">
        <v>1505.2</v>
      </c>
      <c r="AQ8" s="40">
        <v>2676.6</v>
      </c>
    </row>
    <row r="9" spans="1:43" s="7" customFormat="1" ht="12.75">
      <c r="A9" s="87" t="s">
        <v>33</v>
      </c>
      <c r="B9" s="39">
        <v>893.8</v>
      </c>
      <c r="C9" s="40">
        <v>849.7</v>
      </c>
      <c r="D9" s="40">
        <v>1144.1999999999998</v>
      </c>
      <c r="E9" s="40">
        <v>1651</v>
      </c>
      <c r="F9" s="39">
        <v>2061.5</v>
      </c>
      <c r="G9" s="40">
        <v>2185.9</v>
      </c>
      <c r="H9" s="40">
        <v>1621.6</v>
      </c>
      <c r="I9" s="41">
        <v>4579.8</v>
      </c>
      <c r="J9" s="39">
        <v>5167.4</v>
      </c>
      <c r="K9" s="40">
        <v>3242</v>
      </c>
      <c r="L9" s="40">
        <v>1953.3</v>
      </c>
      <c r="M9" s="41">
        <v>1566.7</v>
      </c>
      <c r="N9" s="39">
        <v>1408.3</v>
      </c>
      <c r="O9" s="40">
        <v>1755.7</v>
      </c>
      <c r="P9" s="40">
        <v>1527.9</v>
      </c>
      <c r="Q9" s="41">
        <v>1158.9</v>
      </c>
      <c r="R9" s="39">
        <v>879.1</v>
      </c>
      <c r="S9" s="40">
        <v>912.6</v>
      </c>
      <c r="T9" s="40">
        <v>1782</v>
      </c>
      <c r="U9" s="41">
        <v>1858.4</v>
      </c>
      <c r="V9" s="40">
        <v>1293.9</v>
      </c>
      <c r="W9" s="40">
        <v>1235.1000000000001</v>
      </c>
      <c r="X9" s="40">
        <v>1524.7000000000003</v>
      </c>
      <c r="Y9" s="41">
        <v>1822.1000000000001</v>
      </c>
      <c r="Z9" s="39">
        <v>1572.1</v>
      </c>
      <c r="AA9" s="40">
        <v>1519.3</v>
      </c>
      <c r="AB9" s="40">
        <v>1329.4</v>
      </c>
      <c r="AC9" s="41">
        <v>1471.4</v>
      </c>
      <c r="AD9" s="39">
        <v>1352.3999999999999</v>
      </c>
      <c r="AE9" s="40">
        <v>1467.3999999999999</v>
      </c>
      <c r="AF9" s="40">
        <v>1998.4999999999998</v>
      </c>
      <c r="AG9" s="41">
        <v>2412.2999999999997</v>
      </c>
      <c r="AH9" s="40">
        <v>2608</v>
      </c>
      <c r="AI9" s="40">
        <v>1949.8</v>
      </c>
      <c r="AJ9" s="40">
        <v>1947.2</v>
      </c>
      <c r="AK9" s="41">
        <v>1990.9</v>
      </c>
      <c r="AL9" s="40">
        <v>1613.8</v>
      </c>
      <c r="AM9" s="40">
        <v>1320.5</v>
      </c>
      <c r="AN9" s="40">
        <v>1124.9</v>
      </c>
      <c r="AO9" s="41">
        <v>1117.1</v>
      </c>
      <c r="AP9" s="40">
        <v>1210.6</v>
      </c>
      <c r="AQ9" s="40">
        <v>1029.7</v>
      </c>
    </row>
    <row r="10" spans="1:43" s="7" customFormat="1" ht="12.75">
      <c r="A10" s="87" t="s">
        <v>34</v>
      </c>
      <c r="B10" s="39">
        <f>SUM(B11:B12)</f>
        <v>12001.7</v>
      </c>
      <c r="C10" s="40">
        <f aca="true" t="shared" si="0" ref="C10:W10">SUM(C11:C12)</f>
        <v>9593.8</v>
      </c>
      <c r="D10" s="40">
        <f t="shared" si="0"/>
        <v>9149.900000000001</v>
      </c>
      <c r="E10" s="40">
        <f t="shared" si="0"/>
        <v>9388.3</v>
      </c>
      <c r="F10" s="39">
        <f t="shared" si="0"/>
        <v>13933.400000000001</v>
      </c>
      <c r="G10" s="40">
        <f t="shared" si="0"/>
        <v>17001.2</v>
      </c>
      <c r="H10" s="40">
        <f t="shared" si="0"/>
        <v>19710.7</v>
      </c>
      <c r="I10" s="41">
        <f t="shared" si="0"/>
        <v>18050.9</v>
      </c>
      <c r="J10" s="39">
        <f t="shared" si="0"/>
        <v>15901.9</v>
      </c>
      <c r="K10" s="40">
        <f t="shared" si="0"/>
        <v>15568.2</v>
      </c>
      <c r="L10" s="40">
        <f t="shared" si="0"/>
        <v>14334.5</v>
      </c>
      <c r="M10" s="41">
        <f t="shared" si="0"/>
        <v>14166.3</v>
      </c>
      <c r="N10" s="39">
        <f t="shared" si="0"/>
        <v>21639.699999999997</v>
      </c>
      <c r="O10" s="40">
        <f t="shared" si="0"/>
        <v>21008.7</v>
      </c>
      <c r="P10" s="40">
        <f t="shared" si="0"/>
        <v>18736.4</v>
      </c>
      <c r="Q10" s="41">
        <f t="shared" si="0"/>
        <v>23006.8</v>
      </c>
      <c r="R10" s="39">
        <f t="shared" si="0"/>
        <v>23574.1</v>
      </c>
      <c r="S10" s="40">
        <f t="shared" si="0"/>
        <v>23947.5</v>
      </c>
      <c r="T10" s="40">
        <f t="shared" si="0"/>
        <v>22396.3</v>
      </c>
      <c r="U10" s="41">
        <f t="shared" si="0"/>
        <v>20450.7</v>
      </c>
      <c r="V10" s="40">
        <f t="shared" si="0"/>
        <v>16819.8</v>
      </c>
      <c r="W10" s="40">
        <f t="shared" si="0"/>
        <v>13817.5</v>
      </c>
      <c r="X10" s="40">
        <f aca="true" t="shared" si="1" ref="X10:AC10">SUM(X11:X12)</f>
        <v>13536.1</v>
      </c>
      <c r="Y10" s="41">
        <f t="shared" si="1"/>
        <v>17881.1</v>
      </c>
      <c r="Z10" s="39">
        <f t="shared" si="1"/>
        <v>18003.9</v>
      </c>
      <c r="AA10" s="40">
        <f t="shared" si="1"/>
        <v>20256.699999999997</v>
      </c>
      <c r="AB10" s="40">
        <f t="shared" si="1"/>
        <v>19794</v>
      </c>
      <c r="AC10" s="41">
        <f t="shared" si="1"/>
        <v>19493.600000000002</v>
      </c>
      <c r="AD10" s="39">
        <f aca="true" t="shared" si="2" ref="AD10:AI10">SUM(AD11:AD12)</f>
        <v>20994.899999999998</v>
      </c>
      <c r="AE10" s="40">
        <f t="shared" si="2"/>
        <v>22090.4</v>
      </c>
      <c r="AF10" s="40">
        <f t="shared" si="2"/>
        <v>23190.600000000002</v>
      </c>
      <c r="AG10" s="41">
        <f t="shared" si="2"/>
        <v>22829.3</v>
      </c>
      <c r="AH10" s="40">
        <f t="shared" si="2"/>
        <v>23869.699999999997</v>
      </c>
      <c r="AI10" s="40">
        <f t="shared" si="2"/>
        <v>24267.600000000002</v>
      </c>
      <c r="AJ10" s="40">
        <f>SUM(AJ11:AJ12)</f>
        <v>24310.3</v>
      </c>
      <c r="AK10" s="41">
        <v>23478.8</v>
      </c>
      <c r="AL10" s="40">
        <v>25072</v>
      </c>
      <c r="AM10" s="40">
        <v>27761</v>
      </c>
      <c r="AN10" s="40">
        <v>27344</v>
      </c>
      <c r="AO10" s="41">
        <v>25721.3</v>
      </c>
      <c r="AP10" s="40">
        <v>26569.7</v>
      </c>
      <c r="AQ10" s="40">
        <v>24427.6</v>
      </c>
    </row>
    <row r="11" spans="1:43" s="265" customFormat="1" ht="11.25" outlineLevel="1">
      <c r="A11" s="105" t="s">
        <v>35</v>
      </c>
      <c r="B11" s="57">
        <v>12001.7</v>
      </c>
      <c r="C11" s="58">
        <v>9593.8</v>
      </c>
      <c r="D11" s="58">
        <v>8529.2</v>
      </c>
      <c r="E11" s="58">
        <v>8547.5</v>
      </c>
      <c r="F11" s="57">
        <v>10159.7</v>
      </c>
      <c r="G11" s="58">
        <v>10816.2</v>
      </c>
      <c r="H11" s="58">
        <v>12385.2</v>
      </c>
      <c r="I11" s="59">
        <v>10739.1</v>
      </c>
      <c r="J11" s="57">
        <v>8517.5</v>
      </c>
      <c r="K11" s="58">
        <v>8329.5</v>
      </c>
      <c r="L11" s="58">
        <v>6990.8</v>
      </c>
      <c r="M11" s="59">
        <v>6835.9</v>
      </c>
      <c r="N11" s="57">
        <v>14852.8</v>
      </c>
      <c r="O11" s="58">
        <v>14323.7</v>
      </c>
      <c r="P11" s="58">
        <v>12239.9</v>
      </c>
      <c r="Q11" s="59">
        <v>16788.8</v>
      </c>
      <c r="R11" s="57">
        <v>17266.8</v>
      </c>
      <c r="S11" s="58">
        <v>18998.1</v>
      </c>
      <c r="T11" s="58">
        <v>17379.6</v>
      </c>
      <c r="U11" s="59">
        <v>15468.4</v>
      </c>
      <c r="V11" s="58">
        <v>11765.1</v>
      </c>
      <c r="W11" s="58">
        <v>10299</v>
      </c>
      <c r="X11" s="58">
        <v>13536.1</v>
      </c>
      <c r="Y11" s="59">
        <v>17881.1</v>
      </c>
      <c r="Z11" s="57">
        <v>18003.9</v>
      </c>
      <c r="AA11" s="58">
        <v>20256.699999999997</v>
      </c>
      <c r="AB11" s="58">
        <v>19794</v>
      </c>
      <c r="AC11" s="59">
        <v>19493.600000000002</v>
      </c>
      <c r="AD11" s="57">
        <v>20994.899999999998</v>
      </c>
      <c r="AE11" s="58">
        <v>22090.4</v>
      </c>
      <c r="AF11" s="58">
        <v>23190.600000000002</v>
      </c>
      <c r="AG11" s="59">
        <v>22829.3</v>
      </c>
      <c r="AH11" s="58">
        <v>22151.899999999998</v>
      </c>
      <c r="AI11" s="58">
        <v>22540.7</v>
      </c>
      <c r="AJ11" s="58">
        <v>21977.1</v>
      </c>
      <c r="AK11" s="59">
        <v>20678.1</v>
      </c>
      <c r="AL11" s="58">
        <v>21952.1</v>
      </c>
      <c r="AM11" s="58">
        <v>23401.8</v>
      </c>
      <c r="AN11" s="58">
        <v>22794.1</v>
      </c>
      <c r="AO11" s="59">
        <v>20557.2</v>
      </c>
      <c r="AP11" s="58">
        <v>20325</v>
      </c>
      <c r="AQ11" s="58">
        <v>17337.4</v>
      </c>
    </row>
    <row r="12" spans="1:43" s="265" customFormat="1" ht="11.25" outlineLevel="1">
      <c r="A12" s="106" t="s">
        <v>36</v>
      </c>
      <c r="B12" s="57">
        <v>0</v>
      </c>
      <c r="C12" s="58">
        <v>0</v>
      </c>
      <c r="D12" s="58">
        <v>620.7</v>
      </c>
      <c r="E12" s="58">
        <v>840.8</v>
      </c>
      <c r="F12" s="57">
        <v>3773.7</v>
      </c>
      <c r="G12" s="58">
        <v>6185</v>
      </c>
      <c r="H12" s="58">
        <v>7325.5</v>
      </c>
      <c r="I12" s="59">
        <v>7311.8</v>
      </c>
      <c r="J12" s="57">
        <v>7384.4</v>
      </c>
      <c r="K12" s="58">
        <v>7238.7</v>
      </c>
      <c r="L12" s="58">
        <v>7343.7</v>
      </c>
      <c r="M12" s="59">
        <v>7330.4</v>
      </c>
      <c r="N12" s="57">
        <v>6786.9</v>
      </c>
      <c r="O12" s="58">
        <v>6685</v>
      </c>
      <c r="P12" s="58">
        <v>6496.5</v>
      </c>
      <c r="Q12" s="59">
        <v>6218</v>
      </c>
      <c r="R12" s="57">
        <v>6307.3</v>
      </c>
      <c r="S12" s="58">
        <v>4949.4</v>
      </c>
      <c r="T12" s="58">
        <v>5016.7</v>
      </c>
      <c r="U12" s="59">
        <v>4982.3</v>
      </c>
      <c r="V12" s="58">
        <v>5054.7</v>
      </c>
      <c r="W12" s="58">
        <v>3518.5</v>
      </c>
      <c r="X12" s="58">
        <v>0</v>
      </c>
      <c r="Y12" s="59">
        <v>0</v>
      </c>
      <c r="Z12" s="57">
        <v>0</v>
      </c>
      <c r="AA12" s="58">
        <v>0</v>
      </c>
      <c r="AB12" s="58">
        <v>0</v>
      </c>
      <c r="AC12" s="59">
        <v>0</v>
      </c>
      <c r="AD12" s="57">
        <v>0</v>
      </c>
      <c r="AE12" s="58">
        <v>0</v>
      </c>
      <c r="AF12" s="58">
        <v>0</v>
      </c>
      <c r="AG12" s="59">
        <v>0</v>
      </c>
      <c r="AH12" s="58">
        <v>1717.8</v>
      </c>
      <c r="AI12" s="58">
        <v>1726.9</v>
      </c>
      <c r="AJ12" s="58">
        <v>2333.2</v>
      </c>
      <c r="AK12" s="59">
        <v>2800.7</v>
      </c>
      <c r="AL12" s="58">
        <v>3119.9</v>
      </c>
      <c r="AM12" s="58">
        <v>4359.2</v>
      </c>
      <c r="AN12" s="58">
        <v>4549.9</v>
      </c>
      <c r="AO12" s="59">
        <v>5164.1</v>
      </c>
      <c r="AP12" s="58">
        <v>6244.7</v>
      </c>
      <c r="AQ12" s="58">
        <v>7090.2</v>
      </c>
    </row>
    <row r="13" spans="1:43" s="9" customFormat="1" ht="12.75">
      <c r="A13" s="89" t="s">
        <v>37</v>
      </c>
      <c r="B13" s="39">
        <v>2</v>
      </c>
      <c r="C13" s="40">
        <v>3.8</v>
      </c>
      <c r="D13" s="40">
        <v>4</v>
      </c>
      <c r="E13" s="40">
        <v>4.6</v>
      </c>
      <c r="F13" s="39">
        <v>3.6</v>
      </c>
      <c r="G13" s="40">
        <v>76</v>
      </c>
      <c r="H13" s="40">
        <v>70.4</v>
      </c>
      <c r="I13" s="41">
        <v>197</v>
      </c>
      <c r="J13" s="39">
        <v>212.4</v>
      </c>
      <c r="K13" s="40">
        <v>91</v>
      </c>
      <c r="L13" s="40">
        <v>64.6</v>
      </c>
      <c r="M13" s="41">
        <v>90.4</v>
      </c>
      <c r="N13" s="39">
        <v>111.7</v>
      </c>
      <c r="O13" s="40">
        <v>88.1</v>
      </c>
      <c r="P13" s="40">
        <v>86.1</v>
      </c>
      <c r="Q13" s="41">
        <v>104.8</v>
      </c>
      <c r="R13" s="39">
        <v>112.3</v>
      </c>
      <c r="S13" s="40">
        <v>168</v>
      </c>
      <c r="T13" s="40">
        <v>337.1</v>
      </c>
      <c r="U13" s="41">
        <v>433.4</v>
      </c>
      <c r="V13" s="40">
        <v>349.2</v>
      </c>
      <c r="W13" s="40">
        <v>420</v>
      </c>
      <c r="X13" s="40">
        <v>675.3</v>
      </c>
      <c r="Y13" s="41">
        <v>1112.6</v>
      </c>
      <c r="Z13" s="39">
        <v>1066.9</v>
      </c>
      <c r="AA13" s="40">
        <v>990.7</v>
      </c>
      <c r="AB13" s="40">
        <v>994.1</v>
      </c>
      <c r="AC13" s="41">
        <v>1051.9</v>
      </c>
      <c r="AD13" s="39">
        <v>1011.1</v>
      </c>
      <c r="AE13" s="40">
        <v>1653</v>
      </c>
      <c r="AF13" s="40">
        <v>2370.9</v>
      </c>
      <c r="AG13" s="41">
        <v>2983.8</v>
      </c>
      <c r="AH13" s="40">
        <v>3039.3</v>
      </c>
      <c r="AI13" s="40">
        <v>2036.6</v>
      </c>
      <c r="AJ13" s="40">
        <v>2521.2000000000003</v>
      </c>
      <c r="AK13" s="41">
        <v>2454.8</v>
      </c>
      <c r="AL13" s="40">
        <v>2737.1</v>
      </c>
      <c r="AM13" s="40">
        <v>2389.6</v>
      </c>
      <c r="AN13" s="40">
        <v>2138.9</v>
      </c>
      <c r="AO13" s="41">
        <v>1338.6</v>
      </c>
      <c r="AP13" s="40">
        <v>1259.1</v>
      </c>
      <c r="AQ13" s="40">
        <v>1148.6</v>
      </c>
    </row>
    <row r="14" spans="1:43" s="7" customFormat="1" ht="12.75">
      <c r="A14" s="87" t="s">
        <v>38</v>
      </c>
      <c r="B14" s="39">
        <v>13782.6</v>
      </c>
      <c r="C14" s="40">
        <v>14567.2</v>
      </c>
      <c r="D14" s="40">
        <v>15449.4</v>
      </c>
      <c r="E14" s="40">
        <v>16379.1</v>
      </c>
      <c r="F14" s="39">
        <v>18039.9</v>
      </c>
      <c r="G14" s="40">
        <v>19569.4</v>
      </c>
      <c r="H14" s="40">
        <v>21915.8</v>
      </c>
      <c r="I14" s="41">
        <v>25584.7</v>
      </c>
      <c r="J14" s="39">
        <v>28871.3</v>
      </c>
      <c r="K14" s="40">
        <v>28613.899999999998</v>
      </c>
      <c r="L14" s="40">
        <v>28835.2</v>
      </c>
      <c r="M14" s="41">
        <v>29966.1</v>
      </c>
      <c r="N14" s="39">
        <v>29973.3</v>
      </c>
      <c r="O14" s="40">
        <v>31653.100000000002</v>
      </c>
      <c r="P14" s="40">
        <v>33229.799999999996</v>
      </c>
      <c r="Q14" s="41">
        <v>34509</v>
      </c>
      <c r="R14" s="39">
        <v>35292.9</v>
      </c>
      <c r="S14" s="40">
        <v>37014.100000000006</v>
      </c>
      <c r="T14" s="40">
        <v>39699.6</v>
      </c>
      <c r="U14" s="41">
        <v>42329.7</v>
      </c>
      <c r="V14" s="40">
        <v>47717.299999999996</v>
      </c>
      <c r="W14" s="40">
        <v>48490.6</v>
      </c>
      <c r="X14" s="40">
        <v>49275.1</v>
      </c>
      <c r="Y14" s="41">
        <v>48985.299999999996</v>
      </c>
      <c r="Z14" s="39">
        <v>49119.30000000001</v>
      </c>
      <c r="AA14" s="40">
        <v>50472.50000000001</v>
      </c>
      <c r="AB14" s="40">
        <v>52105.2</v>
      </c>
      <c r="AC14" s="41">
        <v>52237.899999999994</v>
      </c>
      <c r="AD14" s="39">
        <v>54597.1</v>
      </c>
      <c r="AE14" s="40">
        <v>57318.999999999985</v>
      </c>
      <c r="AF14" s="40">
        <v>60219</v>
      </c>
      <c r="AG14" s="41">
        <v>61054.8</v>
      </c>
      <c r="AH14" s="40">
        <v>63399</v>
      </c>
      <c r="AI14" s="40">
        <v>68127.2</v>
      </c>
      <c r="AJ14" s="40">
        <v>71425.2</v>
      </c>
      <c r="AK14" s="41">
        <v>72519.6</v>
      </c>
      <c r="AL14" s="40">
        <v>75330</v>
      </c>
      <c r="AM14" s="40">
        <v>78308.59999999999</v>
      </c>
      <c r="AN14" s="40">
        <v>80377.4</v>
      </c>
      <c r="AO14" s="41">
        <v>81979.5</v>
      </c>
      <c r="AP14" s="40">
        <v>84379.6</v>
      </c>
      <c r="AQ14" s="40">
        <v>86902.3</v>
      </c>
    </row>
    <row r="15" spans="1:43" s="7" customFormat="1" ht="12.75">
      <c r="A15" s="87" t="s">
        <v>277</v>
      </c>
      <c r="B15" s="39">
        <v>0</v>
      </c>
      <c r="C15" s="40">
        <v>0</v>
      </c>
      <c r="D15" s="40">
        <v>0</v>
      </c>
      <c r="E15" s="40">
        <v>0</v>
      </c>
      <c r="F15" s="39">
        <v>0</v>
      </c>
      <c r="G15" s="40">
        <v>802.6</v>
      </c>
      <c r="H15" s="40">
        <v>71</v>
      </c>
      <c r="I15" s="41">
        <v>158.1</v>
      </c>
      <c r="J15" s="39">
        <v>169</v>
      </c>
      <c r="K15" s="40">
        <v>654.7</v>
      </c>
      <c r="L15" s="40">
        <v>214.8</v>
      </c>
      <c r="M15" s="41">
        <v>626.7</v>
      </c>
      <c r="N15" s="39">
        <v>186.3</v>
      </c>
      <c r="O15" s="40">
        <v>128.1</v>
      </c>
      <c r="P15" s="40">
        <v>90.8</v>
      </c>
      <c r="Q15" s="41">
        <v>0</v>
      </c>
      <c r="R15" s="39">
        <v>39.5</v>
      </c>
      <c r="S15" s="40">
        <v>80.7</v>
      </c>
      <c r="T15" s="40">
        <v>90.1</v>
      </c>
      <c r="U15" s="41">
        <v>0</v>
      </c>
      <c r="V15" s="40">
        <v>78.6</v>
      </c>
      <c r="W15" s="40">
        <v>0</v>
      </c>
      <c r="X15" s="40">
        <v>0</v>
      </c>
      <c r="Y15" s="41">
        <v>0</v>
      </c>
      <c r="Z15" s="39">
        <v>0</v>
      </c>
      <c r="AA15" s="40">
        <v>1284.2</v>
      </c>
      <c r="AB15" s="40">
        <v>252.4</v>
      </c>
      <c r="AC15" s="41">
        <v>638.8</v>
      </c>
      <c r="AD15" s="39">
        <v>660.4</v>
      </c>
      <c r="AE15" s="40">
        <v>773.5</v>
      </c>
      <c r="AF15" s="40">
        <v>486.7</v>
      </c>
      <c r="AG15" s="41">
        <v>106.6</v>
      </c>
      <c r="AH15" s="40">
        <v>987.1</v>
      </c>
      <c r="AI15" s="40">
        <v>491.3</v>
      </c>
      <c r="AJ15" s="40">
        <v>553.6</v>
      </c>
      <c r="AK15" s="41">
        <v>1354.4</v>
      </c>
      <c r="AL15" s="40">
        <v>19.9</v>
      </c>
      <c r="AM15" s="40">
        <v>0</v>
      </c>
      <c r="AN15" s="40">
        <v>19.8</v>
      </c>
      <c r="AO15" s="41">
        <v>0</v>
      </c>
      <c r="AP15" s="40">
        <v>19.9</v>
      </c>
      <c r="AQ15" s="40">
        <v>20</v>
      </c>
    </row>
    <row r="16" spans="1:43" s="9" customFormat="1" ht="12.75">
      <c r="A16" s="87" t="s">
        <v>39</v>
      </c>
      <c r="B16" s="39">
        <v>102.7</v>
      </c>
      <c r="C16" s="40">
        <v>77</v>
      </c>
      <c r="D16" s="40">
        <v>86.6</v>
      </c>
      <c r="E16" s="40">
        <v>97.3</v>
      </c>
      <c r="F16" s="39">
        <v>108.9</v>
      </c>
      <c r="G16" s="40">
        <v>84.9</v>
      </c>
      <c r="H16" s="40">
        <v>97.9</v>
      </c>
      <c r="I16" s="41">
        <v>107.3</v>
      </c>
      <c r="J16" s="39">
        <v>117.4</v>
      </c>
      <c r="K16" s="40">
        <v>89.1</v>
      </c>
      <c r="L16" s="40">
        <v>99.5</v>
      </c>
      <c r="M16" s="41">
        <v>115.6</v>
      </c>
      <c r="N16" s="39">
        <v>122.9</v>
      </c>
      <c r="O16" s="40">
        <v>133.8</v>
      </c>
      <c r="P16" s="40">
        <v>144.4</v>
      </c>
      <c r="Q16" s="41">
        <v>156.8</v>
      </c>
      <c r="R16" s="39">
        <v>166.6</v>
      </c>
      <c r="S16" s="40">
        <v>86.6</v>
      </c>
      <c r="T16" s="40">
        <v>94.8</v>
      </c>
      <c r="U16" s="41">
        <v>105</v>
      </c>
      <c r="V16" s="40">
        <v>111.79999999999995</v>
      </c>
      <c r="W16" s="40">
        <v>96.79999999999995</v>
      </c>
      <c r="X16" s="40">
        <v>104.29999999999995</v>
      </c>
      <c r="Y16" s="41">
        <v>114.39999999999998</v>
      </c>
      <c r="Z16" s="39">
        <v>123.29999999999995</v>
      </c>
      <c r="AA16" s="40">
        <v>115.10000000000002</v>
      </c>
      <c r="AB16" s="40">
        <v>124.39999999999998</v>
      </c>
      <c r="AC16" s="41">
        <v>136.5</v>
      </c>
      <c r="AD16" s="39">
        <v>147.69999999999993</v>
      </c>
      <c r="AE16" s="40">
        <v>-5.689893001203927E-15</v>
      </c>
      <c r="AF16" s="40">
        <v>0</v>
      </c>
      <c r="AG16" s="41">
        <v>-2.3092638912203256E-14</v>
      </c>
      <c r="AH16" s="40">
        <v>0</v>
      </c>
      <c r="AI16" s="40">
        <v>0</v>
      </c>
      <c r="AJ16" s="40">
        <v>0</v>
      </c>
      <c r="AK16" s="41">
        <v>0</v>
      </c>
      <c r="AL16" s="40">
        <v>0</v>
      </c>
      <c r="AM16" s="40">
        <v>0</v>
      </c>
      <c r="AN16" s="40">
        <v>0</v>
      </c>
      <c r="AO16" s="41">
        <v>0</v>
      </c>
      <c r="AP16" s="40">
        <v>0</v>
      </c>
      <c r="AQ16" s="40">
        <v>0</v>
      </c>
    </row>
    <row r="17" spans="1:43" s="9" customFormat="1" ht="12.75">
      <c r="A17" s="87" t="s">
        <v>315</v>
      </c>
      <c r="B17" s="39">
        <f>SUM(B18:B20)</f>
        <v>1040.8</v>
      </c>
      <c r="C17" s="40">
        <f>SUM(C18:C20)</f>
        <v>1020.9000000000001</v>
      </c>
      <c r="D17" s="40">
        <f>SUM(D18:D20)</f>
        <v>1013.2</v>
      </c>
      <c r="E17" s="40">
        <f aca="true" t="shared" si="3" ref="E17:AD17">SUM(E18:E20)</f>
        <v>996.3999999999999</v>
      </c>
      <c r="F17" s="39">
        <f t="shared" si="3"/>
        <v>998</v>
      </c>
      <c r="G17" s="40">
        <f t="shared" si="3"/>
        <v>975.9000000000001</v>
      </c>
      <c r="H17" s="40">
        <f t="shared" si="3"/>
        <v>972.9000000000001</v>
      </c>
      <c r="I17" s="41">
        <f t="shared" si="3"/>
        <v>1011.9000000000001</v>
      </c>
      <c r="J17" s="39">
        <f t="shared" si="3"/>
        <v>1013.6</v>
      </c>
      <c r="K17" s="40">
        <f t="shared" si="3"/>
        <v>1022.5</v>
      </c>
      <c r="L17" s="40">
        <f t="shared" si="3"/>
        <v>1009.1999999999999</v>
      </c>
      <c r="M17" s="41">
        <f t="shared" si="3"/>
        <v>1005.8</v>
      </c>
      <c r="N17" s="39">
        <f t="shared" si="3"/>
        <v>991.6</v>
      </c>
      <c r="O17" s="40">
        <f t="shared" si="3"/>
        <v>991.9</v>
      </c>
      <c r="P17" s="40">
        <f t="shared" si="3"/>
        <v>986.7</v>
      </c>
      <c r="Q17" s="41">
        <f t="shared" si="3"/>
        <v>1004.6000000000001</v>
      </c>
      <c r="R17" s="39">
        <f t="shared" si="3"/>
        <v>991.5</v>
      </c>
      <c r="S17" s="40">
        <f t="shared" si="3"/>
        <v>987.2</v>
      </c>
      <c r="T17" s="40">
        <f t="shared" si="3"/>
        <v>990.4000000000001</v>
      </c>
      <c r="U17" s="41">
        <f t="shared" si="3"/>
        <v>1056</v>
      </c>
      <c r="V17" s="40">
        <f t="shared" si="3"/>
        <v>1052.8000000000002</v>
      </c>
      <c r="W17" s="40">
        <f t="shared" si="3"/>
        <v>1057.0000000000002</v>
      </c>
      <c r="X17" s="40">
        <f t="shared" si="3"/>
        <v>1063.2000000000003</v>
      </c>
      <c r="Y17" s="41">
        <f t="shared" si="3"/>
        <v>1082.5</v>
      </c>
      <c r="Z17" s="39">
        <f t="shared" si="3"/>
        <v>1047.8</v>
      </c>
      <c r="AA17" s="40">
        <f t="shared" si="3"/>
        <v>1028.1000000000001</v>
      </c>
      <c r="AB17" s="40">
        <f t="shared" si="3"/>
        <v>1017.2000000000002</v>
      </c>
      <c r="AC17" s="41">
        <f t="shared" si="3"/>
        <v>1063.8999999999999</v>
      </c>
      <c r="AD17" s="39">
        <f t="shared" si="3"/>
        <v>1050.2</v>
      </c>
      <c r="AE17" s="40">
        <f aca="true" t="shared" si="4" ref="AE17:AJ17">SUM(AE18:AE20)</f>
        <v>1064</v>
      </c>
      <c r="AF17" s="40">
        <f t="shared" si="4"/>
        <v>1055.6999999999998</v>
      </c>
      <c r="AG17" s="41">
        <f t="shared" si="4"/>
        <v>1032.3</v>
      </c>
      <c r="AH17" s="40">
        <f t="shared" si="4"/>
        <v>1017.8999999999999</v>
      </c>
      <c r="AI17" s="40">
        <f t="shared" si="4"/>
        <v>1005.4</v>
      </c>
      <c r="AJ17" s="40">
        <f t="shared" si="4"/>
        <v>1022.6</v>
      </c>
      <c r="AK17" s="41">
        <v>1070.5</v>
      </c>
      <c r="AL17" s="40">
        <v>1037.8000000000002</v>
      </c>
      <c r="AM17" s="40">
        <v>1032.5</v>
      </c>
      <c r="AN17" s="40">
        <v>1025</v>
      </c>
      <c r="AO17" s="41">
        <v>1004.5</v>
      </c>
      <c r="AP17" s="40">
        <v>995.6</v>
      </c>
      <c r="AQ17" s="40">
        <v>985.3</v>
      </c>
    </row>
    <row r="18" spans="1:43" s="7" customFormat="1" ht="12.75" outlineLevel="1">
      <c r="A18" s="268" t="s">
        <v>40</v>
      </c>
      <c r="B18" s="57">
        <v>150.1</v>
      </c>
      <c r="C18" s="58">
        <v>149.1</v>
      </c>
      <c r="D18" s="58">
        <v>151.1</v>
      </c>
      <c r="E18" s="58">
        <v>144.7</v>
      </c>
      <c r="F18" s="57">
        <v>145.8</v>
      </c>
      <c r="G18" s="58">
        <v>135.8</v>
      </c>
      <c r="H18" s="58">
        <v>135.8</v>
      </c>
      <c r="I18" s="59">
        <v>151.5</v>
      </c>
      <c r="J18" s="57">
        <v>151.5</v>
      </c>
      <c r="K18" s="58">
        <v>151.5</v>
      </c>
      <c r="L18" s="58">
        <v>151.5</v>
      </c>
      <c r="M18" s="59">
        <v>129.7</v>
      </c>
      <c r="N18" s="57">
        <v>129.7</v>
      </c>
      <c r="O18" s="58">
        <v>129.7</v>
      </c>
      <c r="P18" s="58">
        <v>140.4</v>
      </c>
      <c r="Q18" s="59">
        <v>118.2</v>
      </c>
      <c r="R18" s="57">
        <v>118.2</v>
      </c>
      <c r="S18" s="58">
        <v>118.2</v>
      </c>
      <c r="T18" s="58">
        <v>118.2</v>
      </c>
      <c r="U18" s="59">
        <v>118.7</v>
      </c>
      <c r="V18" s="58">
        <v>118.7</v>
      </c>
      <c r="W18" s="58">
        <v>118.7</v>
      </c>
      <c r="X18" s="58">
        <v>118.7</v>
      </c>
      <c r="Y18" s="59">
        <v>120.9</v>
      </c>
      <c r="Z18" s="57">
        <v>120.9</v>
      </c>
      <c r="AA18" s="58">
        <v>120.9</v>
      </c>
      <c r="AB18" s="58">
        <v>120.9</v>
      </c>
      <c r="AC18" s="59">
        <v>121.4</v>
      </c>
      <c r="AD18" s="57">
        <v>121.4</v>
      </c>
      <c r="AE18" s="58">
        <v>121.6</v>
      </c>
      <c r="AF18" s="58">
        <v>59.6</v>
      </c>
      <c r="AG18" s="59">
        <v>60</v>
      </c>
      <c r="AH18" s="58">
        <v>60</v>
      </c>
      <c r="AI18" s="58">
        <v>61</v>
      </c>
      <c r="AJ18" s="58">
        <v>61</v>
      </c>
      <c r="AK18" s="59">
        <v>53.2</v>
      </c>
      <c r="AL18" s="58">
        <v>53.2</v>
      </c>
      <c r="AM18" s="58">
        <v>53.2</v>
      </c>
      <c r="AN18" s="58">
        <v>53.2</v>
      </c>
      <c r="AO18" s="59">
        <v>0.3</v>
      </c>
      <c r="AP18" s="58">
        <v>0.3</v>
      </c>
      <c r="AQ18" s="58">
        <v>0.3</v>
      </c>
    </row>
    <row r="19" spans="1:43" s="7" customFormat="1" ht="12.75" outlineLevel="1">
      <c r="A19" s="268" t="s">
        <v>41</v>
      </c>
      <c r="B19" s="57">
        <v>565</v>
      </c>
      <c r="C19" s="58">
        <v>552.5</v>
      </c>
      <c r="D19" s="58">
        <v>543.1</v>
      </c>
      <c r="E19" s="58">
        <v>532.9</v>
      </c>
      <c r="F19" s="57">
        <v>536.4</v>
      </c>
      <c r="G19" s="58">
        <v>529.1</v>
      </c>
      <c r="H19" s="58">
        <v>527.6</v>
      </c>
      <c r="I19" s="59">
        <v>544.2</v>
      </c>
      <c r="J19" s="57">
        <v>548.6</v>
      </c>
      <c r="K19" s="58">
        <v>553.2</v>
      </c>
      <c r="L19" s="58">
        <v>541.3</v>
      </c>
      <c r="M19" s="59">
        <v>548.8</v>
      </c>
      <c r="N19" s="57">
        <v>539</v>
      </c>
      <c r="O19" s="58">
        <v>536.3</v>
      </c>
      <c r="P19" s="58">
        <v>520.5</v>
      </c>
      <c r="Q19" s="59">
        <v>544.2</v>
      </c>
      <c r="R19" s="57">
        <v>531.3</v>
      </c>
      <c r="S19" s="58">
        <v>511.2</v>
      </c>
      <c r="T19" s="58">
        <v>516.6</v>
      </c>
      <c r="U19" s="59">
        <v>575.3</v>
      </c>
      <c r="V19" s="58">
        <v>573.7000000000002</v>
      </c>
      <c r="W19" s="58">
        <v>579.5000000000001</v>
      </c>
      <c r="X19" s="58">
        <v>583.4000000000001</v>
      </c>
      <c r="Y19" s="59">
        <v>600</v>
      </c>
      <c r="Z19" s="57">
        <v>573.3</v>
      </c>
      <c r="AA19" s="58">
        <v>554.1</v>
      </c>
      <c r="AB19" s="58">
        <v>544.3000000000001</v>
      </c>
      <c r="AC19" s="59">
        <v>576.5999999999999</v>
      </c>
      <c r="AD19" s="57">
        <v>569.9</v>
      </c>
      <c r="AE19" s="58">
        <v>583.9</v>
      </c>
      <c r="AF19" s="58">
        <v>635.1999999999999</v>
      </c>
      <c r="AG19" s="59">
        <v>595</v>
      </c>
      <c r="AH19" s="58">
        <v>583.5</v>
      </c>
      <c r="AI19" s="58">
        <v>564.3</v>
      </c>
      <c r="AJ19" s="58">
        <v>574.2</v>
      </c>
      <c r="AK19" s="59">
        <v>597.7</v>
      </c>
      <c r="AL19" s="58">
        <v>566.7</v>
      </c>
      <c r="AM19" s="58">
        <v>552.9</v>
      </c>
      <c r="AN19" s="58">
        <v>540</v>
      </c>
      <c r="AO19" s="59">
        <v>578</v>
      </c>
      <c r="AP19" s="58">
        <v>580.2</v>
      </c>
      <c r="AQ19" s="58">
        <v>564.4</v>
      </c>
    </row>
    <row r="20" spans="1:43" s="7" customFormat="1" ht="12.75" outlineLevel="1">
      <c r="A20" s="268" t="s">
        <v>42</v>
      </c>
      <c r="B20" s="57">
        <v>325.7</v>
      </c>
      <c r="C20" s="58">
        <v>319.3</v>
      </c>
      <c r="D20" s="58">
        <v>319</v>
      </c>
      <c r="E20" s="58">
        <v>318.8</v>
      </c>
      <c r="F20" s="57">
        <v>315.8</v>
      </c>
      <c r="G20" s="58">
        <v>311</v>
      </c>
      <c r="H20" s="58">
        <v>309.5</v>
      </c>
      <c r="I20" s="59">
        <v>316.2</v>
      </c>
      <c r="J20" s="57">
        <v>313.5</v>
      </c>
      <c r="K20" s="58">
        <v>317.8</v>
      </c>
      <c r="L20" s="58">
        <v>316.4</v>
      </c>
      <c r="M20" s="59">
        <v>327.3</v>
      </c>
      <c r="N20" s="57">
        <v>322.9</v>
      </c>
      <c r="O20" s="58">
        <v>325.9</v>
      </c>
      <c r="P20" s="58">
        <v>325.8</v>
      </c>
      <c r="Q20" s="59">
        <v>342.2</v>
      </c>
      <c r="R20" s="57">
        <v>342</v>
      </c>
      <c r="S20" s="58">
        <v>357.8</v>
      </c>
      <c r="T20" s="58">
        <v>355.6</v>
      </c>
      <c r="U20" s="59">
        <v>362</v>
      </c>
      <c r="V20" s="58">
        <v>360.4</v>
      </c>
      <c r="W20" s="58">
        <v>358.8</v>
      </c>
      <c r="X20" s="58">
        <v>361.1</v>
      </c>
      <c r="Y20" s="59">
        <v>361.59999999999997</v>
      </c>
      <c r="Z20" s="57">
        <v>353.6</v>
      </c>
      <c r="AA20" s="58">
        <v>353.1000000000001</v>
      </c>
      <c r="AB20" s="58">
        <v>352.0000000000001</v>
      </c>
      <c r="AC20" s="59">
        <v>365.90000000000003</v>
      </c>
      <c r="AD20" s="57">
        <v>358.90000000000003</v>
      </c>
      <c r="AE20" s="58">
        <v>358.50000000000006</v>
      </c>
      <c r="AF20" s="58">
        <v>360.8999999999999</v>
      </c>
      <c r="AG20" s="59">
        <v>377.29999999999995</v>
      </c>
      <c r="AH20" s="58">
        <v>374.3999999999999</v>
      </c>
      <c r="AI20" s="58">
        <v>380.1</v>
      </c>
      <c r="AJ20" s="58">
        <v>387.4</v>
      </c>
      <c r="AK20" s="59">
        <v>419.6</v>
      </c>
      <c r="AL20" s="58">
        <v>417.9</v>
      </c>
      <c r="AM20" s="58">
        <v>426.4</v>
      </c>
      <c r="AN20" s="58">
        <v>431.8</v>
      </c>
      <c r="AO20" s="59">
        <v>426.2</v>
      </c>
      <c r="AP20" s="58">
        <v>415.1</v>
      </c>
      <c r="AQ20" s="58">
        <v>420.6</v>
      </c>
    </row>
    <row r="21" spans="1:43" s="7" customFormat="1" ht="12.75" collapsed="1">
      <c r="A21" s="87" t="s">
        <v>43</v>
      </c>
      <c r="B21" s="39">
        <v>0.2</v>
      </c>
      <c r="C21" s="40">
        <v>0.3</v>
      </c>
      <c r="D21" s="40">
        <v>0.2</v>
      </c>
      <c r="E21" s="40">
        <v>0.2</v>
      </c>
      <c r="F21" s="39">
        <v>0.3</v>
      </c>
      <c r="G21" s="40">
        <v>0.3</v>
      </c>
      <c r="H21" s="40">
        <v>0.2</v>
      </c>
      <c r="I21" s="41">
        <v>0.2</v>
      </c>
      <c r="J21" s="39">
        <v>0.2</v>
      </c>
      <c r="K21" s="40">
        <v>0.1</v>
      </c>
      <c r="L21" s="40">
        <v>0.2</v>
      </c>
      <c r="M21" s="41">
        <v>0.2</v>
      </c>
      <c r="N21" s="39">
        <v>0.2</v>
      </c>
      <c r="O21" s="40">
        <v>0.2</v>
      </c>
      <c r="P21" s="40">
        <v>1.9</v>
      </c>
      <c r="Q21" s="41">
        <v>14</v>
      </c>
      <c r="R21" s="39">
        <v>12.3</v>
      </c>
      <c r="S21" s="40">
        <v>40.9</v>
      </c>
      <c r="T21" s="40">
        <v>44.4</v>
      </c>
      <c r="U21" s="41">
        <v>33.6</v>
      </c>
      <c r="V21" s="40">
        <v>38.9</v>
      </c>
      <c r="W21" s="40">
        <v>37.3</v>
      </c>
      <c r="X21" s="40">
        <v>33.8</v>
      </c>
      <c r="Y21" s="41">
        <v>33</v>
      </c>
      <c r="Z21" s="39">
        <v>44.3</v>
      </c>
      <c r="AA21" s="40">
        <v>49.6</v>
      </c>
      <c r="AB21" s="40">
        <v>49</v>
      </c>
      <c r="AC21" s="41">
        <v>35.3</v>
      </c>
      <c r="AD21" s="39">
        <v>32.2</v>
      </c>
      <c r="AE21" s="40">
        <v>134.3</v>
      </c>
      <c r="AF21" s="40">
        <v>151.8</v>
      </c>
      <c r="AG21" s="41">
        <v>144.9</v>
      </c>
      <c r="AH21" s="40">
        <v>151</v>
      </c>
      <c r="AI21" s="40">
        <v>156</v>
      </c>
      <c r="AJ21" s="40">
        <v>44.1</v>
      </c>
      <c r="AK21" s="41">
        <v>38.4</v>
      </c>
      <c r="AL21" s="40">
        <v>49.8</v>
      </c>
      <c r="AM21" s="40">
        <v>41.2</v>
      </c>
      <c r="AN21" s="40">
        <v>41.2</v>
      </c>
      <c r="AO21" s="41">
        <v>31.8</v>
      </c>
      <c r="AP21" s="40">
        <v>19.7</v>
      </c>
      <c r="AQ21" s="40">
        <v>14.3</v>
      </c>
    </row>
    <row r="22" spans="1:43" s="7" customFormat="1" ht="12.75">
      <c r="A22" s="87" t="s">
        <v>316</v>
      </c>
      <c r="B22" s="39">
        <f aca="true" t="shared" si="5" ref="B22:AC22">SUM(B23:B24)</f>
        <v>22.1</v>
      </c>
      <c r="C22" s="40">
        <f t="shared" si="5"/>
        <v>99.5</v>
      </c>
      <c r="D22" s="40">
        <f t="shared" si="5"/>
        <v>40.7</v>
      </c>
      <c r="E22" s="40">
        <f t="shared" si="5"/>
        <v>74.6</v>
      </c>
      <c r="F22" s="39">
        <f t="shared" si="5"/>
        <v>47.5</v>
      </c>
      <c r="G22" s="40">
        <f t="shared" si="5"/>
        <v>88</v>
      </c>
      <c r="H22" s="40">
        <f t="shared" si="5"/>
        <v>19.1</v>
      </c>
      <c r="I22" s="41">
        <f t="shared" si="5"/>
        <v>48.800000000000004</v>
      </c>
      <c r="J22" s="39">
        <f t="shared" si="5"/>
        <v>55.5</v>
      </c>
      <c r="K22" s="40">
        <f t="shared" si="5"/>
        <v>82.9</v>
      </c>
      <c r="L22" s="40">
        <f t="shared" si="5"/>
        <v>34.3</v>
      </c>
      <c r="M22" s="41">
        <f t="shared" si="5"/>
        <v>87.2</v>
      </c>
      <c r="N22" s="39">
        <f t="shared" si="5"/>
        <v>62.8</v>
      </c>
      <c r="O22" s="40">
        <f t="shared" si="5"/>
        <v>97.7</v>
      </c>
      <c r="P22" s="40">
        <f t="shared" si="5"/>
        <v>77.4</v>
      </c>
      <c r="Q22" s="41">
        <f t="shared" si="5"/>
        <v>168</v>
      </c>
      <c r="R22" s="39">
        <f t="shared" si="5"/>
        <v>181.8</v>
      </c>
      <c r="S22" s="40">
        <f t="shared" si="5"/>
        <v>155.8</v>
      </c>
      <c r="T22" s="40">
        <f t="shared" si="5"/>
        <v>153.60000000000002</v>
      </c>
      <c r="U22" s="41">
        <f t="shared" si="5"/>
        <v>164</v>
      </c>
      <c r="V22" s="40">
        <f t="shared" si="5"/>
        <v>161</v>
      </c>
      <c r="W22" s="40">
        <f t="shared" si="5"/>
        <v>139.4</v>
      </c>
      <c r="X22" s="40">
        <f t="shared" si="5"/>
        <v>45.199999999999996</v>
      </c>
      <c r="Y22" s="41">
        <f t="shared" si="5"/>
        <v>38.599999999999994</v>
      </c>
      <c r="Z22" s="39">
        <f t="shared" si="5"/>
        <v>56.1</v>
      </c>
      <c r="AA22" s="40">
        <f t="shared" si="5"/>
        <v>74.3</v>
      </c>
      <c r="AB22" s="40">
        <f t="shared" si="5"/>
        <v>103</v>
      </c>
      <c r="AC22" s="41">
        <f t="shared" si="5"/>
        <v>119.89999999999999</v>
      </c>
      <c r="AD22" s="39">
        <f aca="true" t="shared" si="6" ref="AD22:AI22">SUM(AD23:AD24)</f>
        <v>100.3</v>
      </c>
      <c r="AE22" s="40">
        <f t="shared" si="6"/>
        <v>91.39999999999999</v>
      </c>
      <c r="AF22" s="40">
        <f t="shared" si="6"/>
        <v>98.8</v>
      </c>
      <c r="AG22" s="41">
        <f t="shared" si="6"/>
        <v>59.1</v>
      </c>
      <c r="AH22" s="40">
        <f t="shared" si="6"/>
        <v>77.8</v>
      </c>
      <c r="AI22" s="40">
        <f t="shared" si="6"/>
        <v>65.9</v>
      </c>
      <c r="AJ22" s="40">
        <f>SUM(AJ23:AJ24)</f>
        <v>55.8</v>
      </c>
      <c r="AK22" s="41">
        <v>59.6</v>
      </c>
      <c r="AL22" s="40">
        <v>71.4</v>
      </c>
      <c r="AM22" s="40">
        <v>76.89999999999999</v>
      </c>
      <c r="AN22" s="40">
        <v>77.5</v>
      </c>
      <c r="AO22" s="41">
        <v>237.5</v>
      </c>
      <c r="AP22" s="40">
        <v>181.9</v>
      </c>
      <c r="AQ22" s="40">
        <v>228.5</v>
      </c>
    </row>
    <row r="23" spans="1:43" s="7" customFormat="1" ht="12.75" outlineLevel="1">
      <c r="A23" s="268" t="s">
        <v>44</v>
      </c>
      <c r="B23" s="57">
        <v>0</v>
      </c>
      <c r="C23" s="58">
        <v>0</v>
      </c>
      <c r="D23" s="58">
        <v>0</v>
      </c>
      <c r="E23" s="58">
        <v>25.3</v>
      </c>
      <c r="F23" s="57">
        <v>9.7</v>
      </c>
      <c r="G23" s="58">
        <v>0</v>
      </c>
      <c r="H23" s="58">
        <v>0</v>
      </c>
      <c r="I23" s="59">
        <v>0.1</v>
      </c>
      <c r="J23" s="57">
        <v>18.7</v>
      </c>
      <c r="K23" s="58">
        <v>82.9</v>
      </c>
      <c r="L23" s="58">
        <v>0</v>
      </c>
      <c r="M23" s="59">
        <v>0.8</v>
      </c>
      <c r="N23" s="57">
        <v>0.4</v>
      </c>
      <c r="O23" s="58">
        <v>0.3</v>
      </c>
      <c r="P23" s="58">
        <v>0</v>
      </c>
      <c r="Q23" s="59">
        <v>0.6</v>
      </c>
      <c r="R23" s="57">
        <v>37.9</v>
      </c>
      <c r="S23" s="58">
        <v>55.2</v>
      </c>
      <c r="T23" s="58">
        <v>56.2</v>
      </c>
      <c r="U23" s="59">
        <v>147.5</v>
      </c>
      <c r="V23" s="58">
        <v>91.3</v>
      </c>
      <c r="W23" s="58">
        <v>0.2</v>
      </c>
      <c r="X23" s="58">
        <v>0</v>
      </c>
      <c r="Y23" s="59">
        <v>0.3</v>
      </c>
      <c r="Z23" s="57">
        <v>1</v>
      </c>
      <c r="AA23" s="58">
        <v>0.2</v>
      </c>
      <c r="AB23" s="58">
        <v>0.5</v>
      </c>
      <c r="AC23" s="59">
        <v>1.2999999999999998</v>
      </c>
      <c r="AD23" s="57">
        <v>9.8</v>
      </c>
      <c r="AE23" s="58">
        <v>29.099999999999998</v>
      </c>
      <c r="AF23" s="58">
        <v>37.7</v>
      </c>
      <c r="AG23" s="59">
        <v>1.1</v>
      </c>
      <c r="AH23" s="58">
        <v>19.7</v>
      </c>
      <c r="AI23" s="58">
        <v>0.5</v>
      </c>
      <c r="AJ23" s="58">
        <v>0.4</v>
      </c>
      <c r="AK23" s="59">
        <v>0.1</v>
      </c>
      <c r="AL23" s="58">
        <v>3.2</v>
      </c>
      <c r="AM23" s="58">
        <v>0.3</v>
      </c>
      <c r="AN23" s="323">
        <v>0.1</v>
      </c>
      <c r="AO23" s="59">
        <v>0.3</v>
      </c>
      <c r="AP23" s="58">
        <v>0.2</v>
      </c>
      <c r="AQ23" s="58">
        <v>0</v>
      </c>
    </row>
    <row r="24" spans="1:43" s="7" customFormat="1" ht="12.75" outlineLevel="1">
      <c r="A24" s="268" t="s">
        <v>45</v>
      </c>
      <c r="B24" s="57">
        <v>22.1</v>
      </c>
      <c r="C24" s="58">
        <v>99.5</v>
      </c>
      <c r="D24" s="58">
        <v>40.7</v>
      </c>
      <c r="E24" s="58">
        <v>49.3</v>
      </c>
      <c r="F24" s="57">
        <v>37.8</v>
      </c>
      <c r="G24" s="58">
        <v>88</v>
      </c>
      <c r="H24" s="58">
        <v>19.1</v>
      </c>
      <c r="I24" s="59">
        <v>48.7</v>
      </c>
      <c r="J24" s="57">
        <v>36.8</v>
      </c>
      <c r="K24" s="58">
        <v>0</v>
      </c>
      <c r="L24" s="58">
        <v>34.3</v>
      </c>
      <c r="M24" s="59">
        <v>86.4</v>
      </c>
      <c r="N24" s="57">
        <v>62.4</v>
      </c>
      <c r="O24" s="58">
        <v>97.4</v>
      </c>
      <c r="P24" s="58">
        <v>77.4</v>
      </c>
      <c r="Q24" s="59">
        <v>167.4</v>
      </c>
      <c r="R24" s="57">
        <v>143.9</v>
      </c>
      <c r="S24" s="58">
        <v>100.6</v>
      </c>
      <c r="T24" s="58">
        <v>97.4</v>
      </c>
      <c r="U24" s="59">
        <v>16.5</v>
      </c>
      <c r="V24" s="58">
        <v>69.7</v>
      </c>
      <c r="W24" s="58">
        <v>139.20000000000002</v>
      </c>
      <c r="X24" s="58">
        <v>45.199999999999996</v>
      </c>
      <c r="Y24" s="59">
        <v>38.3</v>
      </c>
      <c r="Z24" s="57">
        <v>55.1</v>
      </c>
      <c r="AA24" s="58">
        <v>74.1</v>
      </c>
      <c r="AB24" s="58">
        <v>102.5</v>
      </c>
      <c r="AC24" s="59">
        <v>118.6</v>
      </c>
      <c r="AD24" s="57">
        <v>90.5</v>
      </c>
      <c r="AE24" s="58">
        <v>62.3</v>
      </c>
      <c r="AF24" s="58">
        <v>61.099999999999994</v>
      </c>
      <c r="AG24" s="59">
        <v>58</v>
      </c>
      <c r="AH24" s="58">
        <v>58.1</v>
      </c>
      <c r="AI24" s="58">
        <v>65.4</v>
      </c>
      <c r="AJ24" s="58">
        <v>55.4</v>
      </c>
      <c r="AK24" s="59">
        <v>59.5</v>
      </c>
      <c r="AL24" s="58">
        <v>68.2</v>
      </c>
      <c r="AM24" s="58">
        <v>76.6</v>
      </c>
      <c r="AN24" s="323">
        <v>77.4</v>
      </c>
      <c r="AO24" s="59">
        <v>237.2</v>
      </c>
      <c r="AP24" s="58">
        <v>181.7</v>
      </c>
      <c r="AQ24" s="58">
        <v>228.5</v>
      </c>
    </row>
    <row r="25" spans="1:43" s="9" customFormat="1" ht="12.75">
      <c r="A25" s="87" t="s">
        <v>46</v>
      </c>
      <c r="B25" s="39">
        <v>128.1</v>
      </c>
      <c r="C25" s="40">
        <v>154.8</v>
      </c>
      <c r="D25" s="40">
        <v>132.9</v>
      </c>
      <c r="E25" s="40">
        <v>137.4</v>
      </c>
      <c r="F25" s="39">
        <v>122.2</v>
      </c>
      <c r="G25" s="40">
        <v>129.9</v>
      </c>
      <c r="H25" s="40">
        <v>190.9</v>
      </c>
      <c r="I25" s="41">
        <v>166</v>
      </c>
      <c r="J25" s="39">
        <v>187.9</v>
      </c>
      <c r="K25" s="40">
        <v>193</v>
      </c>
      <c r="L25" s="40">
        <v>207.2</v>
      </c>
      <c r="M25" s="41">
        <v>150</v>
      </c>
      <c r="N25" s="39">
        <v>175.4</v>
      </c>
      <c r="O25" s="40">
        <v>175.6</v>
      </c>
      <c r="P25" s="40">
        <v>214.1</v>
      </c>
      <c r="Q25" s="41">
        <v>159.7</v>
      </c>
      <c r="R25" s="39">
        <v>224.5</v>
      </c>
      <c r="S25" s="40">
        <v>210.1</v>
      </c>
      <c r="T25" s="40">
        <v>216</v>
      </c>
      <c r="U25" s="41">
        <v>141.8</v>
      </c>
      <c r="V25" s="40">
        <v>177.60000000000002</v>
      </c>
      <c r="W25" s="40">
        <v>248.39999999999998</v>
      </c>
      <c r="X25" s="40">
        <v>316</v>
      </c>
      <c r="Y25" s="41">
        <v>193.9</v>
      </c>
      <c r="Z25" s="39">
        <v>173.3</v>
      </c>
      <c r="AA25" s="40">
        <v>225.39999999999998</v>
      </c>
      <c r="AB25" s="40">
        <v>187.80000000000004</v>
      </c>
      <c r="AC25" s="41">
        <v>180.1</v>
      </c>
      <c r="AD25" s="39">
        <v>243</v>
      </c>
      <c r="AE25" s="40">
        <v>331.9</v>
      </c>
      <c r="AF25" s="40">
        <v>300.5</v>
      </c>
      <c r="AG25" s="41">
        <v>211.8</v>
      </c>
      <c r="AH25" s="40">
        <v>269</v>
      </c>
      <c r="AI25" s="40">
        <v>283.4</v>
      </c>
      <c r="AJ25" s="40">
        <v>265.1</v>
      </c>
      <c r="AK25" s="41">
        <v>194.7</v>
      </c>
      <c r="AL25" s="40">
        <v>213.2</v>
      </c>
      <c r="AM25" s="40">
        <v>290.1</v>
      </c>
      <c r="AN25" s="40">
        <v>292.2</v>
      </c>
      <c r="AO25" s="41">
        <v>282.2</v>
      </c>
      <c r="AP25" s="40">
        <v>333.5</v>
      </c>
      <c r="AQ25" s="40">
        <v>362.6</v>
      </c>
    </row>
    <row r="26" spans="1:43" s="13" customFormat="1" ht="12.75">
      <c r="A26" s="98" t="s">
        <v>47</v>
      </c>
      <c r="B26" s="93">
        <f>SUM(B6:B10,B13:B17,B21:B22,B25)</f>
        <v>56616.899999999994</v>
      </c>
      <c r="C26" s="94">
        <f aca="true" t="shared" si="7" ref="C26:AE26">SUM(C6:C10,C13:C17,C21:C22,C25)</f>
        <v>53203.10000000001</v>
      </c>
      <c r="D26" s="94">
        <f t="shared" si="7"/>
        <v>53246.6</v>
      </c>
      <c r="E26" s="94">
        <f t="shared" si="7"/>
        <v>52010.799999999996</v>
      </c>
      <c r="F26" s="93">
        <f t="shared" si="7"/>
        <v>60234.4</v>
      </c>
      <c r="G26" s="94">
        <f t="shared" si="7"/>
        <v>60513.200000000004</v>
      </c>
      <c r="H26" s="94">
        <f t="shared" si="7"/>
        <v>65262.59999999999</v>
      </c>
      <c r="I26" s="94">
        <f t="shared" si="7"/>
        <v>69610.5</v>
      </c>
      <c r="J26" s="93">
        <f t="shared" si="7"/>
        <v>68205.79999999999</v>
      </c>
      <c r="K26" s="94">
        <f t="shared" si="7"/>
        <v>64516.49999999999</v>
      </c>
      <c r="L26" s="94">
        <f t="shared" si="7"/>
        <v>64256.399999999994</v>
      </c>
      <c r="M26" s="94">
        <f t="shared" si="7"/>
        <v>59883.399999999994</v>
      </c>
      <c r="N26" s="93">
        <f t="shared" si="7"/>
        <v>62099.1</v>
      </c>
      <c r="O26" s="94">
        <f t="shared" si="7"/>
        <v>61582.99999999999</v>
      </c>
      <c r="P26" s="94">
        <f t="shared" si="7"/>
        <v>62165.5</v>
      </c>
      <c r="Q26" s="94">
        <f t="shared" si="7"/>
        <v>64517.49999999999</v>
      </c>
      <c r="R26" s="93">
        <f t="shared" si="7"/>
        <v>65839.8</v>
      </c>
      <c r="S26" s="94">
        <f t="shared" si="7"/>
        <v>67500.90000000001</v>
      </c>
      <c r="T26" s="94">
        <f t="shared" si="7"/>
        <v>73696.09999999999</v>
      </c>
      <c r="U26" s="94">
        <f t="shared" si="7"/>
        <v>69723.40000000001</v>
      </c>
      <c r="V26" s="93">
        <f t="shared" si="7"/>
        <v>72263.1</v>
      </c>
      <c r="W26" s="94">
        <f t="shared" si="7"/>
        <v>70260.09999999999</v>
      </c>
      <c r="X26" s="94">
        <f t="shared" si="7"/>
        <v>73637.8</v>
      </c>
      <c r="Y26" s="95">
        <f t="shared" si="7"/>
        <v>78266.79999999999</v>
      </c>
      <c r="Z26" s="93">
        <f t="shared" si="7"/>
        <v>77753.80000000003</v>
      </c>
      <c r="AA26" s="94">
        <f t="shared" si="7"/>
        <v>81790.60000000002</v>
      </c>
      <c r="AB26" s="94">
        <f t="shared" si="7"/>
        <v>84639.49999999999</v>
      </c>
      <c r="AC26" s="95">
        <f t="shared" si="7"/>
        <v>86750.6</v>
      </c>
      <c r="AD26" s="93">
        <f t="shared" si="7"/>
        <v>92244.69999999998</v>
      </c>
      <c r="AE26" s="94">
        <f t="shared" si="7"/>
        <v>98261.79999999997</v>
      </c>
      <c r="AF26" s="94">
        <f aca="true" t="shared" si="8" ref="AF26:AK26">SUM(AF6:AF10,AF13:AF17,AF21:AF22,AF25)</f>
        <v>96848.5</v>
      </c>
      <c r="AG26" s="95">
        <f t="shared" si="8"/>
        <v>99860.70000000001</v>
      </c>
      <c r="AH26" s="94">
        <f t="shared" si="8"/>
        <v>102568.3</v>
      </c>
      <c r="AI26" s="94">
        <f t="shared" si="8"/>
        <v>105318.89999999998</v>
      </c>
      <c r="AJ26" s="94">
        <f t="shared" si="8"/>
        <v>112180.70000000003</v>
      </c>
      <c r="AK26" s="95">
        <f t="shared" si="8"/>
        <v>108893.09999999999</v>
      </c>
      <c r="AL26" s="94">
        <f aca="true" t="shared" si="9" ref="AL26:AQ26">SUM(AL6:AL10,AL13:AL17,AL21:AL22,AL25)</f>
        <v>112732.7</v>
      </c>
      <c r="AM26" s="94">
        <f t="shared" si="9"/>
        <v>115639.7</v>
      </c>
      <c r="AN26" s="94">
        <f t="shared" si="9"/>
        <v>116549.99999999999</v>
      </c>
      <c r="AO26" s="95">
        <f t="shared" si="9"/>
        <v>117477.7</v>
      </c>
      <c r="AP26" s="94">
        <f t="shared" si="9"/>
        <v>118850.5</v>
      </c>
      <c r="AQ26" s="94">
        <f t="shared" si="9"/>
        <v>120197.6</v>
      </c>
    </row>
    <row r="27" spans="1:43" ht="6.75" customHeight="1">
      <c r="A27" s="87"/>
      <c r="B27" s="39"/>
      <c r="C27" s="40"/>
      <c r="D27" s="40"/>
      <c r="E27" s="40"/>
      <c r="F27" s="39"/>
      <c r="G27" s="40"/>
      <c r="H27" s="40"/>
      <c r="I27" s="41"/>
      <c r="J27" s="39"/>
      <c r="K27" s="40"/>
      <c r="L27" s="40"/>
      <c r="M27" s="41"/>
      <c r="N27" s="39"/>
      <c r="O27" s="40"/>
      <c r="P27" s="40"/>
      <c r="Q27" s="41"/>
      <c r="R27" s="39"/>
      <c r="S27" s="40"/>
      <c r="T27" s="40"/>
      <c r="U27" s="41"/>
      <c r="V27" s="40"/>
      <c r="W27" s="40"/>
      <c r="X27" s="40"/>
      <c r="Y27" s="41"/>
      <c r="Z27" s="39"/>
      <c r="AA27" s="40"/>
      <c r="AB27" s="40"/>
      <c r="AC27" s="41"/>
      <c r="AD27" s="39"/>
      <c r="AE27" s="40"/>
      <c r="AF27" s="40"/>
      <c r="AG27" s="41"/>
      <c r="AH27" s="40"/>
      <c r="AI27" s="40"/>
      <c r="AJ27" s="40"/>
      <c r="AK27" s="41"/>
      <c r="AL27" s="40"/>
      <c r="AM27" s="40"/>
      <c r="AN27" s="40"/>
      <c r="AO27" s="41"/>
      <c r="AP27" s="40"/>
      <c r="AQ27" s="40"/>
    </row>
    <row r="28" spans="1:43" ht="12.75">
      <c r="A28" s="112" t="s">
        <v>49</v>
      </c>
      <c r="B28" s="39"/>
      <c r="C28" s="40"/>
      <c r="D28" s="40"/>
      <c r="E28" s="40"/>
      <c r="F28" s="39"/>
      <c r="G28" s="40"/>
      <c r="H28" s="40"/>
      <c r="I28" s="41"/>
      <c r="J28" s="39"/>
      <c r="K28" s="40"/>
      <c r="L28" s="40"/>
      <c r="M28" s="41"/>
      <c r="N28" s="39"/>
      <c r="O28" s="40"/>
      <c r="P28" s="40"/>
      <c r="Q28" s="41"/>
      <c r="R28" s="39"/>
      <c r="S28" s="40"/>
      <c r="T28" s="40"/>
      <c r="U28" s="41"/>
      <c r="V28" s="40"/>
      <c r="W28" s="40"/>
      <c r="X28" s="40"/>
      <c r="Y28" s="41"/>
      <c r="Z28" s="39"/>
      <c r="AA28" s="40"/>
      <c r="AB28" s="40"/>
      <c r="AC28" s="41"/>
      <c r="AD28" s="39"/>
      <c r="AE28" s="40"/>
      <c r="AF28" s="40"/>
      <c r="AG28" s="41"/>
      <c r="AH28" s="40"/>
      <c r="AI28" s="40"/>
      <c r="AJ28" s="40"/>
      <c r="AK28" s="41"/>
      <c r="AL28" s="40"/>
      <c r="AM28" s="40"/>
      <c r="AN28" s="40"/>
      <c r="AO28" s="41"/>
      <c r="AP28" s="40"/>
      <c r="AQ28" s="40"/>
    </row>
    <row r="29" spans="1:43" ht="12.75">
      <c r="A29" s="112" t="s">
        <v>50</v>
      </c>
      <c r="B29" s="39"/>
      <c r="C29" s="40"/>
      <c r="D29" s="40"/>
      <c r="E29" s="40"/>
      <c r="F29" s="39"/>
      <c r="G29" s="40"/>
      <c r="H29" s="40"/>
      <c r="I29" s="41"/>
      <c r="J29" s="39"/>
      <c r="K29" s="40"/>
      <c r="L29" s="40"/>
      <c r="M29" s="41"/>
      <c r="N29" s="39"/>
      <c r="O29" s="40"/>
      <c r="P29" s="40"/>
      <c r="Q29" s="41"/>
      <c r="R29" s="39"/>
      <c r="S29" s="40"/>
      <c r="T29" s="40"/>
      <c r="U29" s="41"/>
      <c r="V29" s="40"/>
      <c r="W29" s="40"/>
      <c r="X29" s="40"/>
      <c r="Y29" s="41"/>
      <c r="Z29" s="39"/>
      <c r="AA29" s="40"/>
      <c r="AB29" s="40"/>
      <c r="AC29" s="41"/>
      <c r="AD29" s="39"/>
      <c r="AE29" s="40"/>
      <c r="AF29" s="40"/>
      <c r="AG29" s="41"/>
      <c r="AH29" s="40"/>
      <c r="AI29" s="40"/>
      <c r="AJ29" s="40"/>
      <c r="AK29" s="41"/>
      <c r="AL29" s="40"/>
      <c r="AM29" s="40"/>
      <c r="AN29" s="40"/>
      <c r="AO29" s="41"/>
      <c r="AP29" s="40"/>
      <c r="AQ29" s="40"/>
    </row>
    <row r="30" spans="1:43" ht="12.75">
      <c r="A30" s="113" t="s">
        <v>219</v>
      </c>
      <c r="B30" s="39">
        <v>0</v>
      </c>
      <c r="C30" s="40">
        <v>0</v>
      </c>
      <c r="D30" s="40">
        <v>0</v>
      </c>
      <c r="E30" s="40">
        <v>0</v>
      </c>
      <c r="F30" s="39">
        <v>0</v>
      </c>
      <c r="G30" s="40">
        <v>0</v>
      </c>
      <c r="H30" s="40">
        <v>0</v>
      </c>
      <c r="I30" s="41">
        <v>5932.1</v>
      </c>
      <c r="J30" s="39">
        <v>4020.1</v>
      </c>
      <c r="K30" s="40">
        <v>0</v>
      </c>
      <c r="L30" s="40">
        <v>0</v>
      </c>
      <c r="M30" s="41">
        <v>0</v>
      </c>
      <c r="N30" s="39">
        <v>0</v>
      </c>
      <c r="O30" s="40">
        <v>0</v>
      </c>
      <c r="P30" s="40">
        <v>0</v>
      </c>
      <c r="Q30" s="41">
        <v>0</v>
      </c>
      <c r="R30" s="39">
        <v>0</v>
      </c>
      <c r="S30" s="40">
        <v>0</v>
      </c>
      <c r="T30" s="40">
        <v>0</v>
      </c>
      <c r="U30" s="41">
        <v>0</v>
      </c>
      <c r="V30" s="40">
        <v>0</v>
      </c>
      <c r="W30" s="40">
        <v>0</v>
      </c>
      <c r="X30" s="40">
        <v>0</v>
      </c>
      <c r="Y30" s="41">
        <v>0</v>
      </c>
      <c r="Z30" s="39">
        <v>0</v>
      </c>
      <c r="AA30" s="40">
        <v>0</v>
      </c>
      <c r="AB30" s="40">
        <v>0</v>
      </c>
      <c r="AC30" s="41">
        <v>0</v>
      </c>
      <c r="AD30" s="39">
        <v>0</v>
      </c>
      <c r="AE30" s="40">
        <v>0</v>
      </c>
      <c r="AF30" s="40">
        <v>0</v>
      </c>
      <c r="AG30" s="41">
        <v>0</v>
      </c>
      <c r="AH30" s="40">
        <v>0</v>
      </c>
      <c r="AI30" s="40">
        <v>0</v>
      </c>
      <c r="AJ30" s="40">
        <v>0</v>
      </c>
      <c r="AK30" s="41">
        <v>0</v>
      </c>
      <c r="AL30" s="40">
        <v>0</v>
      </c>
      <c r="AM30" s="40">
        <v>0</v>
      </c>
      <c r="AN30" s="40">
        <v>0</v>
      </c>
      <c r="AO30" s="41">
        <v>0</v>
      </c>
      <c r="AP30" s="40">
        <v>0</v>
      </c>
      <c r="AQ30" s="40">
        <v>0</v>
      </c>
    </row>
    <row r="31" spans="1:43" s="4" customFormat="1" ht="12.75">
      <c r="A31" s="87" t="s">
        <v>51</v>
      </c>
      <c r="B31" s="39">
        <v>5598.6</v>
      </c>
      <c r="C31" s="40">
        <v>3868.4</v>
      </c>
      <c r="D31" s="40">
        <v>5592.2</v>
      </c>
      <c r="E31" s="40">
        <v>1810.2</v>
      </c>
      <c r="F31" s="39">
        <v>5212.3</v>
      </c>
      <c r="G31" s="40">
        <v>6024.8</v>
      </c>
      <c r="H31" s="40">
        <v>5153.5</v>
      </c>
      <c r="I31" s="41">
        <v>6015.9</v>
      </c>
      <c r="J31" s="39">
        <v>8073.1</v>
      </c>
      <c r="K31" s="40">
        <v>9535.3</v>
      </c>
      <c r="L31" s="40">
        <v>6355.900000000001</v>
      </c>
      <c r="M31" s="41">
        <v>3927.8</v>
      </c>
      <c r="N31" s="39">
        <v>5359.099999999999</v>
      </c>
      <c r="O31" s="40">
        <v>5121.8</v>
      </c>
      <c r="P31" s="40">
        <v>3115.6000000000004</v>
      </c>
      <c r="Q31" s="41">
        <v>3991</v>
      </c>
      <c r="R31" s="39">
        <v>10409.2</v>
      </c>
      <c r="S31" s="40">
        <v>8913.5</v>
      </c>
      <c r="T31" s="40">
        <v>7573.3</v>
      </c>
      <c r="U31" s="41">
        <v>4917.299999999999</v>
      </c>
      <c r="V31" s="40">
        <v>5381.4</v>
      </c>
      <c r="W31" s="40">
        <v>4079.3</v>
      </c>
      <c r="X31" s="40">
        <v>4932.7</v>
      </c>
      <c r="Y31" s="41">
        <v>4513.700000000001</v>
      </c>
      <c r="Z31" s="39">
        <v>4773.299999999999</v>
      </c>
      <c r="AA31" s="40">
        <v>4139.6</v>
      </c>
      <c r="AB31" s="40">
        <v>4513.2</v>
      </c>
      <c r="AC31" s="41">
        <v>4609.8</v>
      </c>
      <c r="AD31" s="39">
        <v>10542.5</v>
      </c>
      <c r="AE31" s="40">
        <v>11859.5</v>
      </c>
      <c r="AF31" s="40">
        <v>7043.3</v>
      </c>
      <c r="AG31" s="41">
        <v>6123.400000000001</v>
      </c>
      <c r="AH31" s="40">
        <v>5807.500000000001</v>
      </c>
      <c r="AI31" s="40">
        <v>8493</v>
      </c>
      <c r="AJ31" s="40">
        <v>10917.1</v>
      </c>
      <c r="AK31" s="41">
        <v>3913.5</v>
      </c>
      <c r="AL31" s="40">
        <v>4236</v>
      </c>
      <c r="AM31" s="40">
        <v>5082.3</v>
      </c>
      <c r="AN31" s="40">
        <v>7032.5</v>
      </c>
      <c r="AO31" s="41">
        <v>5043</v>
      </c>
      <c r="AP31" s="40">
        <v>5606.6</v>
      </c>
      <c r="AQ31" s="40">
        <v>6140.5</v>
      </c>
    </row>
    <row r="32" spans="1:43" ht="12.75">
      <c r="A32" s="113" t="s">
        <v>52</v>
      </c>
      <c r="B32" s="39">
        <v>4602.1</v>
      </c>
      <c r="C32" s="40">
        <v>3530.4</v>
      </c>
      <c r="D32" s="40">
        <v>1303.1</v>
      </c>
      <c r="E32" s="40">
        <v>157.7</v>
      </c>
      <c r="F32" s="39">
        <v>3313.1</v>
      </c>
      <c r="G32" s="40">
        <v>129.8</v>
      </c>
      <c r="H32" s="40">
        <v>1758.7</v>
      </c>
      <c r="I32" s="41">
        <v>825.1</v>
      </c>
      <c r="J32" s="39">
        <v>336</v>
      </c>
      <c r="K32" s="40">
        <v>981.4</v>
      </c>
      <c r="L32" s="40">
        <v>3701</v>
      </c>
      <c r="M32" s="41">
        <v>998.1</v>
      </c>
      <c r="N32" s="39">
        <v>2649.2</v>
      </c>
      <c r="O32" s="40">
        <v>2123.5</v>
      </c>
      <c r="P32" s="40">
        <v>2580.4</v>
      </c>
      <c r="Q32" s="41">
        <v>4681.4</v>
      </c>
      <c r="R32" s="39">
        <v>561.6</v>
      </c>
      <c r="S32" s="40">
        <v>1643.6</v>
      </c>
      <c r="T32" s="40">
        <v>5370.3</v>
      </c>
      <c r="U32" s="41">
        <v>1814.7</v>
      </c>
      <c r="V32" s="40">
        <v>4395</v>
      </c>
      <c r="W32" s="40">
        <v>1679</v>
      </c>
      <c r="X32" s="40">
        <v>2758.7</v>
      </c>
      <c r="Y32" s="41">
        <v>3003.4</v>
      </c>
      <c r="Z32" s="39">
        <v>2123.3</v>
      </c>
      <c r="AA32" s="40">
        <v>902.8</v>
      </c>
      <c r="AB32" s="40">
        <v>693.7</v>
      </c>
      <c r="AC32" s="41">
        <v>1234.2</v>
      </c>
      <c r="AD32" s="39">
        <v>1453.8999999999999</v>
      </c>
      <c r="AE32" s="40">
        <v>1528.1</v>
      </c>
      <c r="AF32" s="40">
        <v>2145.4</v>
      </c>
      <c r="AG32" s="41">
        <v>917.4</v>
      </c>
      <c r="AH32" s="40">
        <v>1187.7</v>
      </c>
      <c r="AI32" s="40">
        <v>412.09999999999997</v>
      </c>
      <c r="AJ32" s="40">
        <v>934.0999999999999</v>
      </c>
      <c r="AK32" s="41">
        <v>629.4000000000001</v>
      </c>
      <c r="AL32" s="40">
        <v>319.9</v>
      </c>
      <c r="AM32" s="40">
        <v>299.3</v>
      </c>
      <c r="AN32" s="40">
        <v>598.6</v>
      </c>
      <c r="AO32" s="41">
        <v>474.8</v>
      </c>
      <c r="AP32" s="40">
        <v>639</v>
      </c>
      <c r="AQ32" s="40">
        <v>108.6</v>
      </c>
    </row>
    <row r="33" spans="1:43" ht="12.75">
      <c r="A33" s="113" t="s">
        <v>33</v>
      </c>
      <c r="B33" s="39">
        <v>788.7</v>
      </c>
      <c r="C33" s="40">
        <v>814</v>
      </c>
      <c r="D33" s="40">
        <v>886.7</v>
      </c>
      <c r="E33" s="40">
        <v>1057.3</v>
      </c>
      <c r="F33" s="39">
        <v>1252.5</v>
      </c>
      <c r="G33" s="40">
        <v>1507.9</v>
      </c>
      <c r="H33" s="40">
        <v>1512.4</v>
      </c>
      <c r="I33" s="41">
        <v>4321.6</v>
      </c>
      <c r="J33" s="39">
        <v>3242.1</v>
      </c>
      <c r="K33" s="40">
        <v>2103.1</v>
      </c>
      <c r="L33" s="40">
        <v>1341</v>
      </c>
      <c r="M33" s="41">
        <v>1193.9</v>
      </c>
      <c r="N33" s="39">
        <v>1109.7</v>
      </c>
      <c r="O33" s="40">
        <v>1215.3</v>
      </c>
      <c r="P33" s="40">
        <v>1202.2</v>
      </c>
      <c r="Q33" s="41">
        <v>1292.7</v>
      </c>
      <c r="R33" s="39">
        <v>868.9</v>
      </c>
      <c r="S33" s="40">
        <v>938.9</v>
      </c>
      <c r="T33" s="40">
        <v>1865.7</v>
      </c>
      <c r="U33" s="41">
        <v>1694.1</v>
      </c>
      <c r="V33" s="40">
        <v>1226.3</v>
      </c>
      <c r="W33" s="40">
        <v>1287.4</v>
      </c>
      <c r="X33" s="40">
        <v>1499.9</v>
      </c>
      <c r="Y33" s="41">
        <v>1778.1</v>
      </c>
      <c r="Z33" s="39">
        <v>1665.5</v>
      </c>
      <c r="AA33" s="40">
        <v>1606.6999999999998</v>
      </c>
      <c r="AB33" s="40">
        <v>1372.5000000000002</v>
      </c>
      <c r="AC33" s="41">
        <v>1493</v>
      </c>
      <c r="AD33" s="39">
        <v>1372.3</v>
      </c>
      <c r="AE33" s="40">
        <v>1527.1</v>
      </c>
      <c r="AF33" s="40">
        <v>2091</v>
      </c>
      <c r="AG33" s="41">
        <v>2521.6000000000004</v>
      </c>
      <c r="AH33" s="40">
        <v>2744.8</v>
      </c>
      <c r="AI33" s="40">
        <v>2062.7</v>
      </c>
      <c r="AJ33" s="40">
        <v>2037.4</v>
      </c>
      <c r="AK33" s="41">
        <v>2002.7</v>
      </c>
      <c r="AL33" s="40">
        <v>1525.1</v>
      </c>
      <c r="AM33" s="40">
        <v>1336.9</v>
      </c>
      <c r="AN33" s="40">
        <v>1101.9</v>
      </c>
      <c r="AO33" s="41">
        <v>1116</v>
      </c>
      <c r="AP33" s="40">
        <v>1097.6</v>
      </c>
      <c r="AQ33" s="40">
        <v>1045.7</v>
      </c>
    </row>
    <row r="34" spans="1:43" ht="12.75">
      <c r="A34" s="103" t="s">
        <v>37</v>
      </c>
      <c r="B34" s="39">
        <v>0</v>
      </c>
      <c r="C34" s="40">
        <v>0</v>
      </c>
      <c r="D34" s="40">
        <v>0</v>
      </c>
      <c r="E34" s="40">
        <v>0</v>
      </c>
      <c r="F34" s="39">
        <v>10.1</v>
      </c>
      <c r="G34" s="40">
        <v>24.5</v>
      </c>
      <c r="H34" s="40">
        <v>110.8</v>
      </c>
      <c r="I34" s="41">
        <v>420</v>
      </c>
      <c r="J34" s="39">
        <v>610.9</v>
      </c>
      <c r="K34" s="40">
        <v>382.1</v>
      </c>
      <c r="L34" s="40">
        <v>493.7</v>
      </c>
      <c r="M34" s="41">
        <v>482.6</v>
      </c>
      <c r="N34" s="39">
        <v>557</v>
      </c>
      <c r="O34" s="40">
        <v>663.3</v>
      </c>
      <c r="P34" s="40">
        <v>776</v>
      </c>
      <c r="Q34" s="41">
        <v>600.4</v>
      </c>
      <c r="R34" s="39">
        <v>421.1</v>
      </c>
      <c r="S34" s="40">
        <v>427.5</v>
      </c>
      <c r="T34" s="40">
        <v>813.1</v>
      </c>
      <c r="U34" s="41">
        <v>900.6</v>
      </c>
      <c r="V34" s="40">
        <v>851.5</v>
      </c>
      <c r="W34" s="40">
        <v>871.7</v>
      </c>
      <c r="X34" s="40">
        <v>1069</v>
      </c>
      <c r="Y34" s="41">
        <v>1364</v>
      </c>
      <c r="Z34" s="39">
        <v>1267.9</v>
      </c>
      <c r="AA34" s="40">
        <v>1082.3</v>
      </c>
      <c r="AB34" s="40">
        <v>1084.2</v>
      </c>
      <c r="AC34" s="41">
        <v>1114.4</v>
      </c>
      <c r="AD34" s="39">
        <v>1122.3</v>
      </c>
      <c r="AE34" s="40">
        <v>1251.7</v>
      </c>
      <c r="AF34" s="40">
        <v>1637.8</v>
      </c>
      <c r="AG34" s="41">
        <v>2032.8</v>
      </c>
      <c r="AH34" s="40">
        <v>2062.5</v>
      </c>
      <c r="AI34" s="40">
        <v>1900.5</v>
      </c>
      <c r="AJ34" s="40">
        <v>1842.8</v>
      </c>
      <c r="AK34" s="41">
        <v>1830.9</v>
      </c>
      <c r="AL34" s="40">
        <v>1818</v>
      </c>
      <c r="AM34" s="40">
        <v>1730.1</v>
      </c>
      <c r="AN34" s="40">
        <v>1614.3</v>
      </c>
      <c r="AO34" s="41">
        <v>1468.1</v>
      </c>
      <c r="AP34" s="40">
        <v>1206.4</v>
      </c>
      <c r="AQ34" s="40">
        <v>1015</v>
      </c>
    </row>
    <row r="35" spans="1:43" s="4" customFormat="1" ht="12.75">
      <c r="A35" s="102" t="s">
        <v>53</v>
      </c>
      <c r="B35" s="39">
        <v>38384.5</v>
      </c>
      <c r="C35" s="40">
        <v>38261.700000000004</v>
      </c>
      <c r="D35" s="40">
        <v>39595.299999999996</v>
      </c>
      <c r="E35" s="40">
        <v>43646.5</v>
      </c>
      <c r="F35" s="39">
        <v>44691.50000000001</v>
      </c>
      <c r="G35" s="40">
        <v>47445.6</v>
      </c>
      <c r="H35" s="40">
        <v>51004.4</v>
      </c>
      <c r="I35" s="41">
        <v>46909.9</v>
      </c>
      <c r="J35" s="39">
        <v>46344.8</v>
      </c>
      <c r="K35" s="40">
        <v>45728.6</v>
      </c>
      <c r="L35" s="40">
        <v>46505</v>
      </c>
      <c r="M35" s="41">
        <v>47319.1</v>
      </c>
      <c r="N35" s="39">
        <v>45707.6</v>
      </c>
      <c r="O35" s="40">
        <v>45891.299999999996</v>
      </c>
      <c r="P35" s="40">
        <v>47701.6</v>
      </c>
      <c r="Q35" s="41">
        <v>47448.200000000004</v>
      </c>
      <c r="R35" s="39">
        <v>46365.100000000006</v>
      </c>
      <c r="S35" s="40">
        <v>48211.6</v>
      </c>
      <c r="T35" s="40">
        <v>50720.5</v>
      </c>
      <c r="U35" s="41">
        <v>52860.59999999999</v>
      </c>
      <c r="V35" s="40">
        <v>52421.49999999999</v>
      </c>
      <c r="W35" s="40">
        <v>54182.40000000001</v>
      </c>
      <c r="X35" s="40">
        <v>54891.7</v>
      </c>
      <c r="Y35" s="41">
        <v>57898.399999999994</v>
      </c>
      <c r="Z35" s="39">
        <v>58126.799999999996</v>
      </c>
      <c r="AA35" s="40">
        <v>62220.600000000006</v>
      </c>
      <c r="AB35" s="40">
        <v>66397.9</v>
      </c>
      <c r="AC35" s="41">
        <v>67547.9</v>
      </c>
      <c r="AD35" s="39">
        <v>67025.90000000001</v>
      </c>
      <c r="AE35" s="40">
        <v>69689.2</v>
      </c>
      <c r="AF35" s="40">
        <v>71698.50000000001</v>
      </c>
      <c r="AG35" s="41">
        <v>75658.9</v>
      </c>
      <c r="AH35" s="40">
        <v>77606.70000000001</v>
      </c>
      <c r="AI35" s="40">
        <v>80750.59999999999</v>
      </c>
      <c r="AJ35" s="40">
        <v>83825.9</v>
      </c>
      <c r="AK35" s="41">
        <v>87818.5</v>
      </c>
      <c r="AL35" s="40">
        <v>90403</v>
      </c>
      <c r="AM35" s="40">
        <v>93483.3</v>
      </c>
      <c r="AN35" s="40">
        <v>92304.6</v>
      </c>
      <c r="AO35" s="41">
        <v>95825.4</v>
      </c>
      <c r="AP35" s="40">
        <v>96620.7</v>
      </c>
      <c r="AQ35" s="40">
        <v>97708.8</v>
      </c>
    </row>
    <row r="36" spans="1:43" ht="12.75">
      <c r="A36" s="103" t="s">
        <v>278</v>
      </c>
      <c r="B36" s="39">
        <v>2390.1</v>
      </c>
      <c r="C36" s="40">
        <v>1991.7</v>
      </c>
      <c r="D36" s="40">
        <v>1062.8</v>
      </c>
      <c r="E36" s="40">
        <v>855.3</v>
      </c>
      <c r="F36" s="39">
        <v>667.5999999999999</v>
      </c>
      <c r="G36" s="40">
        <v>205.8</v>
      </c>
      <c r="H36" s="40">
        <v>299.1</v>
      </c>
      <c r="I36" s="41">
        <v>202</v>
      </c>
      <c r="J36" s="39">
        <v>238.6</v>
      </c>
      <c r="K36" s="40">
        <v>199.3</v>
      </c>
      <c r="L36" s="40">
        <v>15</v>
      </c>
      <c r="M36" s="41">
        <v>311.6</v>
      </c>
      <c r="N36" s="39">
        <v>489.7</v>
      </c>
      <c r="O36" s="40">
        <v>131.3</v>
      </c>
      <c r="P36" s="40">
        <v>0</v>
      </c>
      <c r="Q36" s="41">
        <v>0</v>
      </c>
      <c r="R36" s="39">
        <v>122.8</v>
      </c>
      <c r="S36" s="40">
        <v>99.1</v>
      </c>
      <c r="T36" s="40">
        <v>62</v>
      </c>
      <c r="U36" s="41">
        <v>116.1</v>
      </c>
      <c r="V36" s="40">
        <v>44</v>
      </c>
      <c r="W36" s="40">
        <v>3.6</v>
      </c>
      <c r="X36" s="40">
        <v>4.5</v>
      </c>
      <c r="Y36" s="41">
        <v>0</v>
      </c>
      <c r="Z36" s="39">
        <v>0</v>
      </c>
      <c r="AA36" s="40">
        <v>1938.5</v>
      </c>
      <c r="AB36" s="40">
        <v>513.5</v>
      </c>
      <c r="AC36" s="41">
        <v>433.5</v>
      </c>
      <c r="AD36" s="39">
        <v>10.4</v>
      </c>
      <c r="AE36" s="40">
        <v>1286.1</v>
      </c>
      <c r="AF36" s="40">
        <v>281.1</v>
      </c>
      <c r="AG36" s="41">
        <v>29.7</v>
      </c>
      <c r="AH36" s="40">
        <v>54.8</v>
      </c>
      <c r="AI36" s="40">
        <v>4.5</v>
      </c>
      <c r="AJ36" s="40">
        <v>4.1</v>
      </c>
      <c r="AK36" s="41">
        <v>47.5</v>
      </c>
      <c r="AL36" s="40">
        <v>10.4</v>
      </c>
      <c r="AM36" s="40">
        <v>9.1</v>
      </c>
      <c r="AN36" s="40">
        <v>0</v>
      </c>
      <c r="AO36" s="41">
        <v>0</v>
      </c>
      <c r="AP36" s="40">
        <v>0</v>
      </c>
      <c r="AQ36" s="40">
        <v>0</v>
      </c>
    </row>
    <row r="37" spans="1:43" ht="12.75">
      <c r="A37" s="103" t="s">
        <v>266</v>
      </c>
      <c r="B37" s="39">
        <v>0</v>
      </c>
      <c r="C37" s="40">
        <v>0</v>
      </c>
      <c r="D37" s="40">
        <v>0</v>
      </c>
      <c r="E37" s="40">
        <v>0</v>
      </c>
      <c r="F37" s="39">
        <v>0</v>
      </c>
      <c r="G37" s="40">
        <v>0</v>
      </c>
      <c r="H37" s="40">
        <v>0</v>
      </c>
      <c r="I37" s="41">
        <v>0</v>
      </c>
      <c r="J37" s="39">
        <v>0</v>
      </c>
      <c r="K37" s="40">
        <v>0</v>
      </c>
      <c r="L37" s="40">
        <v>0</v>
      </c>
      <c r="M37" s="41">
        <v>0</v>
      </c>
      <c r="N37" s="39">
        <v>0</v>
      </c>
      <c r="O37" s="40">
        <v>0</v>
      </c>
      <c r="P37" s="40">
        <v>0</v>
      </c>
      <c r="Q37" s="41">
        <v>0</v>
      </c>
      <c r="R37" s="39">
        <v>0</v>
      </c>
      <c r="S37" s="40">
        <v>0</v>
      </c>
      <c r="T37" s="40">
        <v>0</v>
      </c>
      <c r="U37" s="41">
        <v>0</v>
      </c>
      <c r="V37" s="40">
        <v>0</v>
      </c>
      <c r="W37" s="40">
        <v>0</v>
      </c>
      <c r="X37" s="40">
        <v>0</v>
      </c>
      <c r="Y37" s="41">
        <v>567.1</v>
      </c>
      <c r="Z37" s="39">
        <v>574.5</v>
      </c>
      <c r="AA37" s="40">
        <v>566.4</v>
      </c>
      <c r="AB37" s="40">
        <v>571.5</v>
      </c>
      <c r="AC37" s="41">
        <v>566.4</v>
      </c>
      <c r="AD37" s="39">
        <v>571.4</v>
      </c>
      <c r="AE37" s="40">
        <v>566.4</v>
      </c>
      <c r="AF37" s="40">
        <v>571.6</v>
      </c>
      <c r="AG37" s="41">
        <v>866.5</v>
      </c>
      <c r="AH37" s="40">
        <v>872.7</v>
      </c>
      <c r="AI37" s="40">
        <v>866.3</v>
      </c>
      <c r="AJ37" s="40">
        <v>872</v>
      </c>
      <c r="AK37" s="41">
        <v>866.3</v>
      </c>
      <c r="AL37" s="40">
        <v>872</v>
      </c>
      <c r="AM37" s="40">
        <v>866.3</v>
      </c>
      <c r="AN37" s="40">
        <v>871.9</v>
      </c>
      <c r="AO37" s="41">
        <v>866.4</v>
      </c>
      <c r="AP37" s="40">
        <v>872</v>
      </c>
      <c r="AQ37" s="40">
        <v>866.3</v>
      </c>
    </row>
    <row r="38" spans="1:43" s="4" customFormat="1" ht="12.75">
      <c r="A38" s="102" t="s">
        <v>354</v>
      </c>
      <c r="B38" s="39">
        <v>0</v>
      </c>
      <c r="C38" s="40">
        <v>0</v>
      </c>
      <c r="D38" s="40">
        <v>0</v>
      </c>
      <c r="E38" s="40">
        <v>0</v>
      </c>
      <c r="F38" s="39">
        <v>0</v>
      </c>
      <c r="G38" s="40">
        <v>0</v>
      </c>
      <c r="H38" s="40">
        <v>0</v>
      </c>
      <c r="I38" s="41">
        <v>0</v>
      </c>
      <c r="J38" s="39">
        <v>0</v>
      </c>
      <c r="K38" s="40">
        <v>0</v>
      </c>
      <c r="L38" s="40">
        <v>0</v>
      </c>
      <c r="M38" s="41">
        <v>0</v>
      </c>
      <c r="N38" s="39">
        <v>0</v>
      </c>
      <c r="O38" s="40">
        <v>0</v>
      </c>
      <c r="P38" s="40">
        <v>0</v>
      </c>
      <c r="Q38" s="41">
        <v>0</v>
      </c>
      <c r="R38" s="39">
        <v>0</v>
      </c>
      <c r="S38" s="40">
        <v>0</v>
      </c>
      <c r="T38" s="40">
        <v>0</v>
      </c>
      <c r="U38" s="41">
        <v>0</v>
      </c>
      <c r="V38" s="40">
        <v>0</v>
      </c>
      <c r="W38" s="40">
        <v>0</v>
      </c>
      <c r="X38" s="40">
        <v>0</v>
      </c>
      <c r="Y38" s="41">
        <v>0</v>
      </c>
      <c r="Z38" s="39">
        <v>0</v>
      </c>
      <c r="AA38" s="40">
        <v>0</v>
      </c>
      <c r="AB38" s="40">
        <v>0</v>
      </c>
      <c r="AC38" s="41">
        <v>0</v>
      </c>
      <c r="AD38" s="39">
        <v>0</v>
      </c>
      <c r="AE38" s="40">
        <v>0</v>
      </c>
      <c r="AF38" s="40">
        <v>0</v>
      </c>
      <c r="AG38" s="41">
        <v>0</v>
      </c>
      <c r="AH38" s="40">
        <v>0</v>
      </c>
      <c r="AI38" s="40">
        <v>0</v>
      </c>
      <c r="AJ38" s="40">
        <v>0</v>
      </c>
      <c r="AK38" s="41">
        <v>0</v>
      </c>
      <c r="AL38" s="40">
        <v>641.6</v>
      </c>
      <c r="AM38" s="40">
        <v>665.2</v>
      </c>
      <c r="AN38" s="40">
        <v>648.1</v>
      </c>
      <c r="AO38" s="41">
        <v>664.9</v>
      </c>
      <c r="AP38" s="40">
        <v>634.2</v>
      </c>
      <c r="AQ38" s="40">
        <v>635.3</v>
      </c>
    </row>
    <row r="39" spans="1:43" ht="12.75">
      <c r="A39" s="103" t="s">
        <v>54</v>
      </c>
      <c r="B39" s="39">
        <v>82</v>
      </c>
      <c r="C39" s="40">
        <v>83</v>
      </c>
      <c r="D39" s="40">
        <v>75.9</v>
      </c>
      <c r="E39" s="40">
        <v>72.5</v>
      </c>
      <c r="F39" s="39">
        <v>69.3</v>
      </c>
      <c r="G39" s="40">
        <v>55.6</v>
      </c>
      <c r="H39" s="40">
        <v>62.7</v>
      </c>
      <c r="I39" s="41">
        <v>50.6</v>
      </c>
      <c r="J39" s="39">
        <v>57.3</v>
      </c>
      <c r="K39" s="40">
        <v>49</v>
      </c>
      <c r="L39" s="40">
        <v>49.7</v>
      </c>
      <c r="M39" s="41">
        <v>55.2</v>
      </c>
      <c r="N39" s="39">
        <v>48.3</v>
      </c>
      <c r="O39" s="40">
        <v>46.5</v>
      </c>
      <c r="P39" s="40">
        <v>49.8</v>
      </c>
      <c r="Q39" s="41">
        <v>55.8</v>
      </c>
      <c r="R39" s="39">
        <v>54</v>
      </c>
      <c r="S39" s="40">
        <v>66.9</v>
      </c>
      <c r="T39" s="40">
        <v>52.8</v>
      </c>
      <c r="U39" s="41">
        <v>58.1</v>
      </c>
      <c r="V39" s="40">
        <v>64.6</v>
      </c>
      <c r="W39" s="40">
        <v>64.2</v>
      </c>
      <c r="X39" s="40">
        <v>65.4</v>
      </c>
      <c r="Y39" s="41">
        <v>72.8</v>
      </c>
      <c r="Z39" s="39">
        <v>73.89999999999999</v>
      </c>
      <c r="AA39" s="40">
        <v>77.60000000000001</v>
      </c>
      <c r="AB39" s="40">
        <v>67.3</v>
      </c>
      <c r="AC39" s="41">
        <v>67.79999999999998</v>
      </c>
      <c r="AD39" s="39">
        <v>68.9</v>
      </c>
      <c r="AE39" s="40">
        <v>71.1</v>
      </c>
      <c r="AF39" s="40">
        <v>71.69999999999999</v>
      </c>
      <c r="AG39" s="41">
        <v>74.8</v>
      </c>
      <c r="AH39" s="40">
        <v>70.59999999999998</v>
      </c>
      <c r="AI39" s="40">
        <v>69.5</v>
      </c>
      <c r="AJ39" s="40">
        <v>70.3</v>
      </c>
      <c r="AK39" s="41">
        <v>67.2</v>
      </c>
      <c r="AL39" s="40">
        <v>82.7</v>
      </c>
      <c r="AM39" s="40">
        <v>82</v>
      </c>
      <c r="AN39" s="40">
        <v>79.8</v>
      </c>
      <c r="AO39" s="41">
        <v>73.8</v>
      </c>
      <c r="AP39" s="40">
        <v>72.9</v>
      </c>
      <c r="AQ39" s="40">
        <v>83</v>
      </c>
    </row>
    <row r="40" spans="1:43" s="4" customFormat="1" ht="12.75">
      <c r="A40" s="102" t="s">
        <v>317</v>
      </c>
      <c r="B40" s="39">
        <f aca="true" t="shared" si="10" ref="B40:AC40">SUM(B41:B42)</f>
        <v>66.3</v>
      </c>
      <c r="C40" s="40">
        <f t="shared" si="10"/>
        <v>51</v>
      </c>
      <c r="D40" s="40">
        <f t="shared" si="10"/>
        <v>4.6</v>
      </c>
      <c r="E40" s="40">
        <f t="shared" si="10"/>
        <v>0.1</v>
      </c>
      <c r="F40" s="39">
        <f t="shared" si="10"/>
        <v>0.2</v>
      </c>
      <c r="G40" s="40">
        <f t="shared" si="10"/>
        <v>53.6</v>
      </c>
      <c r="H40" s="40">
        <f t="shared" si="10"/>
        <v>46.6</v>
      </c>
      <c r="I40" s="41">
        <f t="shared" si="10"/>
        <v>39.1</v>
      </c>
      <c r="J40" s="39">
        <f t="shared" si="10"/>
        <v>0</v>
      </c>
      <c r="K40" s="40">
        <f t="shared" si="10"/>
        <v>55.7</v>
      </c>
      <c r="L40" s="40">
        <f t="shared" si="10"/>
        <v>101.1</v>
      </c>
      <c r="M40" s="41">
        <f t="shared" si="10"/>
        <v>156.1</v>
      </c>
      <c r="N40" s="39">
        <f t="shared" si="10"/>
        <v>19.8</v>
      </c>
      <c r="O40" s="40">
        <f t="shared" si="10"/>
        <v>55.4</v>
      </c>
      <c r="P40" s="40">
        <f t="shared" si="10"/>
        <v>60.5</v>
      </c>
      <c r="Q40" s="41">
        <f t="shared" si="10"/>
        <v>138.5</v>
      </c>
      <c r="R40" s="39">
        <f t="shared" si="10"/>
        <v>0</v>
      </c>
      <c r="S40" s="40">
        <f t="shared" si="10"/>
        <v>0.6</v>
      </c>
      <c r="T40" s="40">
        <f t="shared" si="10"/>
        <v>0.4</v>
      </c>
      <c r="U40" s="41">
        <f t="shared" si="10"/>
        <v>0</v>
      </c>
      <c r="V40" s="40">
        <f t="shared" si="10"/>
        <v>3.7</v>
      </c>
      <c r="W40" s="40">
        <f t="shared" si="10"/>
        <v>27.000000000000004</v>
      </c>
      <c r="X40" s="40">
        <f t="shared" si="10"/>
        <v>14.999999999999998</v>
      </c>
      <c r="Y40" s="41">
        <f t="shared" si="10"/>
        <v>103</v>
      </c>
      <c r="Z40" s="39">
        <f t="shared" si="10"/>
        <v>97.69999999999999</v>
      </c>
      <c r="AA40" s="40">
        <f t="shared" si="10"/>
        <v>20.000000000000007</v>
      </c>
      <c r="AB40" s="40">
        <f t="shared" si="10"/>
        <v>42.2</v>
      </c>
      <c r="AC40" s="41">
        <f t="shared" si="10"/>
        <v>111.7</v>
      </c>
      <c r="AD40" s="39">
        <f aca="true" t="shared" si="11" ref="AD40:AI40">SUM(AD41:AD42)</f>
        <v>3.7</v>
      </c>
      <c r="AE40" s="40">
        <f t="shared" si="11"/>
        <v>144</v>
      </c>
      <c r="AF40" s="40">
        <f t="shared" si="11"/>
        <v>254.5</v>
      </c>
      <c r="AG40" s="41">
        <f t="shared" si="11"/>
        <v>265.59999999999997</v>
      </c>
      <c r="AH40" s="40">
        <f t="shared" si="11"/>
        <v>247.29999999999998</v>
      </c>
      <c r="AI40" s="40">
        <f t="shared" si="11"/>
        <v>10.2</v>
      </c>
      <c r="AJ40" s="40">
        <f>SUM(AJ41:AJ42)</f>
        <v>122.9</v>
      </c>
      <c r="AK40" s="41">
        <v>156.8</v>
      </c>
      <c r="AL40" s="40">
        <v>221.70000000000002</v>
      </c>
      <c r="AM40" s="40">
        <v>181.4</v>
      </c>
      <c r="AN40" s="40">
        <v>146.8</v>
      </c>
      <c r="AO40" s="41">
        <v>121.3</v>
      </c>
      <c r="AP40" s="40">
        <v>24.1</v>
      </c>
      <c r="AQ40" s="40">
        <v>121.4</v>
      </c>
    </row>
    <row r="41" spans="1:43" s="116" customFormat="1" ht="12.75" outlineLevel="1">
      <c r="A41" s="268" t="s">
        <v>55</v>
      </c>
      <c r="B41" s="57">
        <v>66.3</v>
      </c>
      <c r="C41" s="58">
        <v>51</v>
      </c>
      <c r="D41" s="58">
        <v>4.6</v>
      </c>
      <c r="E41" s="58">
        <v>0.1</v>
      </c>
      <c r="F41" s="57">
        <v>0.2</v>
      </c>
      <c r="G41" s="58">
        <v>53.6</v>
      </c>
      <c r="H41" s="58">
        <v>46.6</v>
      </c>
      <c r="I41" s="59">
        <v>39.1</v>
      </c>
      <c r="J41" s="57">
        <v>0</v>
      </c>
      <c r="K41" s="58">
        <v>0.1</v>
      </c>
      <c r="L41" s="58">
        <v>101.1</v>
      </c>
      <c r="M41" s="59">
        <v>156.1</v>
      </c>
      <c r="N41" s="57">
        <v>19.8</v>
      </c>
      <c r="O41" s="58">
        <v>55.4</v>
      </c>
      <c r="P41" s="58">
        <v>60.5</v>
      </c>
      <c r="Q41" s="59">
        <v>138.5</v>
      </c>
      <c r="R41" s="57">
        <v>0</v>
      </c>
      <c r="S41" s="58">
        <v>0.6</v>
      </c>
      <c r="T41" s="58">
        <v>0.4</v>
      </c>
      <c r="U41" s="59">
        <v>0</v>
      </c>
      <c r="V41" s="58">
        <v>2.2</v>
      </c>
      <c r="W41" s="58">
        <v>25.200000000000003</v>
      </c>
      <c r="X41" s="58">
        <v>12.699999999999998</v>
      </c>
      <c r="Y41" s="59">
        <v>74</v>
      </c>
      <c r="Z41" s="57">
        <v>95.19999999999999</v>
      </c>
      <c r="AA41" s="58">
        <v>17.400000000000006</v>
      </c>
      <c r="AB41" s="58">
        <v>39.5</v>
      </c>
      <c r="AC41" s="59">
        <v>109.4</v>
      </c>
      <c r="AD41" s="57">
        <v>1.2</v>
      </c>
      <c r="AE41" s="58">
        <v>5.1000000000000005</v>
      </c>
      <c r="AF41" s="58">
        <v>0.5</v>
      </c>
      <c r="AG41" s="59">
        <v>30.8</v>
      </c>
      <c r="AH41" s="58">
        <v>0.3</v>
      </c>
      <c r="AI41" s="58">
        <v>10.2</v>
      </c>
      <c r="AJ41" s="58">
        <v>30</v>
      </c>
      <c r="AK41" s="59">
        <v>24.8</v>
      </c>
      <c r="AL41" s="58">
        <v>3.4</v>
      </c>
      <c r="AM41" s="58">
        <v>86.9</v>
      </c>
      <c r="AN41" s="323">
        <v>110.4</v>
      </c>
      <c r="AO41" s="59">
        <v>121.3</v>
      </c>
      <c r="AP41" s="58">
        <v>24.1</v>
      </c>
      <c r="AQ41" s="58">
        <v>121.4</v>
      </c>
    </row>
    <row r="42" spans="1:43" s="116" customFormat="1" ht="12.75" outlineLevel="1">
      <c r="A42" s="268" t="s">
        <v>56</v>
      </c>
      <c r="B42" s="57">
        <v>0</v>
      </c>
      <c r="C42" s="58">
        <v>0</v>
      </c>
      <c r="D42" s="58">
        <v>0</v>
      </c>
      <c r="E42" s="58">
        <v>0</v>
      </c>
      <c r="F42" s="57">
        <v>0</v>
      </c>
      <c r="G42" s="58">
        <v>0</v>
      </c>
      <c r="H42" s="58">
        <v>0</v>
      </c>
      <c r="I42" s="59">
        <v>0</v>
      </c>
      <c r="J42" s="57">
        <v>0</v>
      </c>
      <c r="K42" s="58">
        <v>55.6</v>
      </c>
      <c r="L42" s="58">
        <v>0</v>
      </c>
      <c r="M42" s="59">
        <v>0</v>
      </c>
      <c r="N42" s="57">
        <v>0</v>
      </c>
      <c r="O42" s="58">
        <v>0</v>
      </c>
      <c r="P42" s="58">
        <v>0</v>
      </c>
      <c r="Q42" s="59">
        <v>0</v>
      </c>
      <c r="R42" s="57">
        <v>0</v>
      </c>
      <c r="S42" s="58">
        <v>0</v>
      </c>
      <c r="T42" s="58">
        <v>0</v>
      </c>
      <c r="U42" s="59">
        <v>0</v>
      </c>
      <c r="V42" s="58">
        <v>1.5</v>
      </c>
      <c r="W42" s="58">
        <v>1.8</v>
      </c>
      <c r="X42" s="58">
        <v>2.3000000000000003</v>
      </c>
      <c r="Y42" s="59">
        <v>29</v>
      </c>
      <c r="Z42" s="57">
        <v>2.5</v>
      </c>
      <c r="AA42" s="58">
        <v>2.6</v>
      </c>
      <c r="AB42" s="58">
        <v>2.7</v>
      </c>
      <c r="AC42" s="59">
        <v>2.3</v>
      </c>
      <c r="AD42" s="57">
        <v>2.5</v>
      </c>
      <c r="AE42" s="58">
        <v>138.9</v>
      </c>
      <c r="AF42" s="58">
        <v>254</v>
      </c>
      <c r="AG42" s="59">
        <v>234.79999999999998</v>
      </c>
      <c r="AH42" s="58">
        <v>246.99999999999997</v>
      </c>
      <c r="AI42" s="58">
        <v>0</v>
      </c>
      <c r="AJ42" s="58">
        <v>92.9</v>
      </c>
      <c r="AK42" s="59">
        <v>132</v>
      </c>
      <c r="AL42" s="58">
        <v>218.3</v>
      </c>
      <c r="AM42" s="58">
        <v>94.5</v>
      </c>
      <c r="AN42" s="323">
        <v>36.4</v>
      </c>
      <c r="AO42" s="59">
        <v>0</v>
      </c>
      <c r="AP42" s="58">
        <v>0</v>
      </c>
      <c r="AQ42" s="58">
        <v>0</v>
      </c>
    </row>
    <row r="43" spans="1:43" ht="12.75">
      <c r="A43" s="103" t="s">
        <v>57</v>
      </c>
      <c r="B43" s="39">
        <v>776.4</v>
      </c>
      <c r="C43" s="40">
        <v>952</v>
      </c>
      <c r="D43" s="40">
        <v>903.9</v>
      </c>
      <c r="E43" s="40">
        <v>570.7</v>
      </c>
      <c r="F43" s="39">
        <v>1002.4</v>
      </c>
      <c r="G43" s="40">
        <v>1086.3</v>
      </c>
      <c r="H43" s="40">
        <v>1034.7</v>
      </c>
      <c r="I43" s="41">
        <v>669.7</v>
      </c>
      <c r="J43" s="39">
        <v>999.7</v>
      </c>
      <c r="K43" s="40">
        <v>965.1</v>
      </c>
      <c r="L43" s="40">
        <v>949.6</v>
      </c>
      <c r="M43" s="41">
        <v>552.3</v>
      </c>
      <c r="N43" s="39">
        <v>1024.7</v>
      </c>
      <c r="O43" s="40">
        <v>1052.1000000000001</v>
      </c>
      <c r="P43" s="40">
        <v>1147.5</v>
      </c>
      <c r="Q43" s="41">
        <v>656.4</v>
      </c>
      <c r="R43" s="39">
        <v>1252.8</v>
      </c>
      <c r="S43" s="40">
        <v>1245.4</v>
      </c>
      <c r="T43" s="40">
        <v>1041.1</v>
      </c>
      <c r="U43" s="41">
        <v>945.9</v>
      </c>
      <c r="V43" s="40">
        <v>1121.7</v>
      </c>
      <c r="W43" s="40">
        <v>1084.3999999999999</v>
      </c>
      <c r="X43" s="40">
        <v>973.6999999999999</v>
      </c>
      <c r="Y43" s="41">
        <v>830.2</v>
      </c>
      <c r="Z43" s="39">
        <v>812.1</v>
      </c>
      <c r="AA43" s="40">
        <v>1102.6000000000004</v>
      </c>
      <c r="AB43" s="40">
        <v>1112</v>
      </c>
      <c r="AC43" s="41">
        <v>943.3</v>
      </c>
      <c r="AD43" s="39">
        <v>1185.5000000000005</v>
      </c>
      <c r="AE43" s="40">
        <v>1177.5</v>
      </c>
      <c r="AF43" s="40">
        <v>1119.3999999999999</v>
      </c>
      <c r="AG43" s="41">
        <v>913.3999999999997</v>
      </c>
      <c r="AH43" s="40">
        <v>1681.6000000000001</v>
      </c>
      <c r="AI43" s="40">
        <v>1190.8</v>
      </c>
      <c r="AJ43" s="40">
        <v>1249.7</v>
      </c>
      <c r="AK43" s="41">
        <v>879.8000000000001</v>
      </c>
      <c r="AL43" s="40">
        <v>1932.1</v>
      </c>
      <c r="AM43" s="40">
        <v>1091.2</v>
      </c>
      <c r="AN43" s="40">
        <v>1172.5</v>
      </c>
      <c r="AO43" s="41">
        <v>1346.8</v>
      </c>
      <c r="AP43" s="40">
        <v>1287.6</v>
      </c>
      <c r="AQ43" s="40">
        <v>1318.9</v>
      </c>
    </row>
    <row r="44" spans="1:43" s="13" customFormat="1" ht="12.75">
      <c r="A44" s="98" t="s">
        <v>58</v>
      </c>
      <c r="B44" s="93">
        <f>SUM(B30:B40,B43)</f>
        <v>52688.700000000004</v>
      </c>
      <c r="C44" s="94">
        <f aca="true" t="shared" si="12" ref="C44:AC44">SUM(C30:C40,C43)</f>
        <v>49552.2</v>
      </c>
      <c r="D44" s="94">
        <f t="shared" si="12"/>
        <v>49424.5</v>
      </c>
      <c r="E44" s="94">
        <f t="shared" si="12"/>
        <v>48170.299999999996</v>
      </c>
      <c r="F44" s="93">
        <f t="shared" si="12"/>
        <v>56219.00000000001</v>
      </c>
      <c r="G44" s="94">
        <f t="shared" si="12"/>
        <v>56533.9</v>
      </c>
      <c r="H44" s="94">
        <f t="shared" si="12"/>
        <v>60982.899999999994</v>
      </c>
      <c r="I44" s="94">
        <f t="shared" si="12"/>
        <v>65386</v>
      </c>
      <c r="J44" s="93">
        <f t="shared" si="12"/>
        <v>63922.6</v>
      </c>
      <c r="K44" s="94">
        <f t="shared" si="12"/>
        <v>59999.6</v>
      </c>
      <c r="L44" s="94">
        <f t="shared" si="12"/>
        <v>59512</v>
      </c>
      <c r="M44" s="94">
        <f t="shared" si="12"/>
        <v>54996.7</v>
      </c>
      <c r="N44" s="93">
        <f t="shared" si="12"/>
        <v>56965.1</v>
      </c>
      <c r="O44" s="94">
        <f t="shared" si="12"/>
        <v>56300.5</v>
      </c>
      <c r="P44" s="94">
        <f t="shared" si="12"/>
        <v>56633.6</v>
      </c>
      <c r="Q44" s="94">
        <f t="shared" si="12"/>
        <v>58864.40000000001</v>
      </c>
      <c r="R44" s="93">
        <f t="shared" si="12"/>
        <v>60055.500000000015</v>
      </c>
      <c r="S44" s="94">
        <f t="shared" si="12"/>
        <v>61547.1</v>
      </c>
      <c r="T44" s="94">
        <f t="shared" si="12"/>
        <v>67499.2</v>
      </c>
      <c r="U44" s="94">
        <f t="shared" si="12"/>
        <v>63307.39999999999</v>
      </c>
      <c r="V44" s="94">
        <f t="shared" si="12"/>
        <v>65509.69999999998</v>
      </c>
      <c r="W44" s="94">
        <f t="shared" si="12"/>
        <v>63279.00000000001</v>
      </c>
      <c r="X44" s="94">
        <f t="shared" si="12"/>
        <v>66210.6</v>
      </c>
      <c r="Y44" s="95">
        <f t="shared" si="12"/>
        <v>70130.7</v>
      </c>
      <c r="Z44" s="93">
        <f t="shared" si="12"/>
        <v>69514.99999999999</v>
      </c>
      <c r="AA44" s="94">
        <f t="shared" si="12"/>
        <v>73657.1</v>
      </c>
      <c r="AB44" s="94">
        <f t="shared" si="12"/>
        <v>76368</v>
      </c>
      <c r="AC44" s="95">
        <f t="shared" si="12"/>
        <v>78121.99999999999</v>
      </c>
      <c r="AD44" s="93">
        <f aca="true" t="shared" si="13" ref="AD44:AI44">SUM(AD30:AD40,AD43)</f>
        <v>83356.79999999999</v>
      </c>
      <c r="AE44" s="94">
        <f t="shared" si="13"/>
        <v>89100.70000000001</v>
      </c>
      <c r="AF44" s="94">
        <f t="shared" si="13"/>
        <v>86914.30000000002</v>
      </c>
      <c r="AG44" s="95">
        <f t="shared" si="13"/>
        <v>89404.09999999999</v>
      </c>
      <c r="AH44" s="94">
        <f t="shared" si="13"/>
        <v>92336.20000000003</v>
      </c>
      <c r="AI44" s="94">
        <f t="shared" si="13"/>
        <v>95760.2</v>
      </c>
      <c r="AJ44" s="94">
        <f aca="true" t="shared" si="14" ref="AJ44:AQ44">SUM(AJ30:AJ40,AJ43)</f>
        <v>101876.29999999999</v>
      </c>
      <c r="AK44" s="95">
        <f t="shared" si="14"/>
        <v>98212.6</v>
      </c>
      <c r="AL44" s="94">
        <f t="shared" si="14"/>
        <v>102062.5</v>
      </c>
      <c r="AM44" s="94">
        <f t="shared" si="14"/>
        <v>104827.1</v>
      </c>
      <c r="AN44" s="94">
        <f t="shared" si="14"/>
        <v>105571.00000000001</v>
      </c>
      <c r="AO44" s="95">
        <f t="shared" si="14"/>
        <v>107000.49999999999</v>
      </c>
      <c r="AP44" s="94">
        <f t="shared" si="14"/>
        <v>108061.1</v>
      </c>
      <c r="AQ44" s="94">
        <f t="shared" si="14"/>
        <v>109043.5</v>
      </c>
    </row>
    <row r="45" spans="1:43" ht="12.75">
      <c r="A45" s="88" t="s">
        <v>59</v>
      </c>
      <c r="B45" s="39"/>
      <c r="C45" s="40"/>
      <c r="D45" s="40"/>
      <c r="E45" s="40"/>
      <c r="F45" s="39"/>
      <c r="G45" s="40"/>
      <c r="H45" s="40"/>
      <c r="I45" s="41"/>
      <c r="J45" s="39"/>
      <c r="K45" s="40"/>
      <c r="L45" s="40"/>
      <c r="M45" s="41"/>
      <c r="N45" s="39"/>
      <c r="O45" s="40"/>
      <c r="P45" s="40"/>
      <c r="Q45" s="41"/>
      <c r="R45" s="39"/>
      <c r="S45" s="40"/>
      <c r="T45" s="40"/>
      <c r="U45" s="41"/>
      <c r="V45" s="40"/>
      <c r="W45" s="40"/>
      <c r="X45" s="40"/>
      <c r="Y45" s="41"/>
      <c r="Z45" s="39"/>
      <c r="AA45" s="40"/>
      <c r="AB45" s="40"/>
      <c r="AC45" s="41"/>
      <c r="AD45" s="39"/>
      <c r="AE45" s="40"/>
      <c r="AF45" s="40"/>
      <c r="AG45" s="41"/>
      <c r="AH45" s="40"/>
      <c r="AI45" s="40"/>
      <c r="AJ45" s="40"/>
      <c r="AK45" s="41"/>
      <c r="AL45" s="40"/>
      <c r="AM45" s="40"/>
      <c r="AN45" s="40"/>
      <c r="AO45" s="41"/>
      <c r="AP45" s="40"/>
      <c r="AQ45" s="40"/>
    </row>
    <row r="46" spans="1:43" ht="12.75">
      <c r="A46" s="103" t="s">
        <v>60</v>
      </c>
      <c r="B46" s="39">
        <v>130.1</v>
      </c>
      <c r="C46" s="40">
        <v>130.1</v>
      </c>
      <c r="D46" s="40">
        <v>130.1</v>
      </c>
      <c r="E46" s="40">
        <v>130.1</v>
      </c>
      <c r="F46" s="39">
        <v>130.1</v>
      </c>
      <c r="G46" s="40">
        <v>130.1</v>
      </c>
      <c r="H46" s="40">
        <v>130.1</v>
      </c>
      <c r="I46" s="41">
        <v>130.1</v>
      </c>
      <c r="J46" s="39">
        <v>130.1</v>
      </c>
      <c r="K46" s="40">
        <v>130.1</v>
      </c>
      <c r="L46" s="40">
        <v>130.1</v>
      </c>
      <c r="M46" s="41">
        <v>130.1</v>
      </c>
      <c r="N46" s="39">
        <v>130.1</v>
      </c>
      <c r="O46" s="40">
        <v>130.1</v>
      </c>
      <c r="P46" s="40">
        <v>130.1</v>
      </c>
      <c r="Q46" s="41">
        <v>130.1</v>
      </c>
      <c r="R46" s="39">
        <v>130.1</v>
      </c>
      <c r="S46" s="40">
        <v>130.1</v>
      </c>
      <c r="T46" s="40">
        <v>130.1</v>
      </c>
      <c r="U46" s="41">
        <v>130.1</v>
      </c>
      <c r="V46" s="40">
        <v>130.10000000000002</v>
      </c>
      <c r="W46" s="40">
        <v>130.10000000000002</v>
      </c>
      <c r="X46" s="40">
        <v>130.10000000000002</v>
      </c>
      <c r="Y46" s="41">
        <v>130.10000000000002</v>
      </c>
      <c r="Z46" s="39">
        <v>130.10000000000002</v>
      </c>
      <c r="AA46" s="40">
        <v>130.10000000000002</v>
      </c>
      <c r="AB46" s="40">
        <v>130.10000000000002</v>
      </c>
      <c r="AC46" s="41">
        <v>130.10000000000002</v>
      </c>
      <c r="AD46" s="39">
        <v>130.10000000000002</v>
      </c>
      <c r="AE46" s="40">
        <v>130.10000000000002</v>
      </c>
      <c r="AF46" s="40">
        <v>130.1</v>
      </c>
      <c r="AG46" s="41">
        <v>130.1</v>
      </c>
      <c r="AH46" s="40">
        <v>130.1</v>
      </c>
      <c r="AI46" s="40">
        <v>130.10000000000002</v>
      </c>
      <c r="AJ46" s="40">
        <v>130.10000000000002</v>
      </c>
      <c r="AK46" s="41">
        <v>130.1</v>
      </c>
      <c r="AL46" s="40">
        <v>130.1</v>
      </c>
      <c r="AM46" s="40">
        <v>130.10000000000002</v>
      </c>
      <c r="AN46" s="40">
        <v>130.10000000000002</v>
      </c>
      <c r="AO46" s="41">
        <v>130.1</v>
      </c>
      <c r="AP46" s="40">
        <v>130.1</v>
      </c>
      <c r="AQ46" s="40">
        <v>130.1</v>
      </c>
    </row>
    <row r="47" spans="1:43" s="4" customFormat="1" ht="12.75">
      <c r="A47" s="102" t="s">
        <v>61</v>
      </c>
      <c r="B47" s="39">
        <f>993.8-37.5</f>
        <v>956.3</v>
      </c>
      <c r="C47" s="40">
        <f>993.8-37.5</f>
        <v>956.3</v>
      </c>
      <c r="D47" s="40">
        <f>993.8-37.5</f>
        <v>956.3</v>
      </c>
      <c r="E47" s="40">
        <v>956.3</v>
      </c>
      <c r="F47" s="39">
        <v>956.3</v>
      </c>
      <c r="G47" s="40">
        <v>956.3</v>
      </c>
      <c r="H47" s="40">
        <v>956.3</v>
      </c>
      <c r="I47" s="41">
        <v>956.3</v>
      </c>
      <c r="J47" s="39">
        <v>956.3</v>
      </c>
      <c r="K47" s="40">
        <v>956.3</v>
      </c>
      <c r="L47" s="40">
        <v>956.3</v>
      </c>
      <c r="M47" s="41">
        <v>956.3</v>
      </c>
      <c r="N47" s="39">
        <v>956.3</v>
      </c>
      <c r="O47" s="40">
        <v>956.3</v>
      </c>
      <c r="P47" s="40">
        <v>956.3</v>
      </c>
      <c r="Q47" s="41">
        <v>956.3</v>
      </c>
      <c r="R47" s="39">
        <v>956.3</v>
      </c>
      <c r="S47" s="40">
        <v>956.3</v>
      </c>
      <c r="T47" s="40">
        <v>956.3</v>
      </c>
      <c r="U47" s="41">
        <v>956.3</v>
      </c>
      <c r="V47" s="40">
        <v>956.3</v>
      </c>
      <c r="W47" s="40">
        <v>956.3</v>
      </c>
      <c r="X47" s="40">
        <v>956.3</v>
      </c>
      <c r="Y47" s="41">
        <v>956.3</v>
      </c>
      <c r="Z47" s="39">
        <v>956.3</v>
      </c>
      <c r="AA47" s="40">
        <v>956.3</v>
      </c>
      <c r="AB47" s="40">
        <v>956.3</v>
      </c>
      <c r="AC47" s="41">
        <v>956.3</v>
      </c>
      <c r="AD47" s="39">
        <v>956.3</v>
      </c>
      <c r="AE47" s="40">
        <v>956.3</v>
      </c>
      <c r="AF47" s="40">
        <v>956.3</v>
      </c>
      <c r="AG47" s="41">
        <v>956.3</v>
      </c>
      <c r="AH47" s="40">
        <v>956.3</v>
      </c>
      <c r="AI47" s="40">
        <v>956.3</v>
      </c>
      <c r="AJ47" s="40">
        <v>956.3</v>
      </c>
      <c r="AK47" s="41">
        <v>956.3</v>
      </c>
      <c r="AL47" s="40">
        <v>956.3</v>
      </c>
      <c r="AM47" s="40">
        <v>956.3</v>
      </c>
      <c r="AN47" s="40">
        <v>956.3</v>
      </c>
      <c r="AO47" s="41">
        <v>956.3</v>
      </c>
      <c r="AP47" s="40">
        <v>956.3</v>
      </c>
      <c r="AQ47" s="40">
        <v>956.3</v>
      </c>
    </row>
    <row r="48" spans="1:43" s="4" customFormat="1" ht="12.75">
      <c r="A48" s="102" t="s">
        <v>318</v>
      </c>
      <c r="B48" s="39">
        <f aca="true" t="shared" si="15" ref="B48:AC48">SUM(B49:B52)</f>
        <v>74.2</v>
      </c>
      <c r="C48" s="40">
        <f t="shared" si="15"/>
        <v>-11.399999999999991</v>
      </c>
      <c r="D48" s="40">
        <f t="shared" si="15"/>
        <v>-12.5</v>
      </c>
      <c r="E48" s="40">
        <f t="shared" si="15"/>
        <v>-91.6</v>
      </c>
      <c r="F48" s="39">
        <f t="shared" si="15"/>
        <v>-90.00000000000001</v>
      </c>
      <c r="G48" s="40">
        <f t="shared" si="15"/>
        <v>-208.5</v>
      </c>
      <c r="H48" s="40">
        <f t="shared" si="15"/>
        <v>-75.2</v>
      </c>
      <c r="I48" s="41">
        <f t="shared" si="15"/>
        <v>-2.5</v>
      </c>
      <c r="J48" s="39">
        <f t="shared" si="15"/>
        <v>-24.60000000000001</v>
      </c>
      <c r="K48" s="40">
        <f t="shared" si="15"/>
        <v>12.2</v>
      </c>
      <c r="L48" s="40">
        <f t="shared" si="15"/>
        <v>28.099999999999994</v>
      </c>
      <c r="M48" s="41">
        <f t="shared" si="15"/>
        <v>48.7</v>
      </c>
      <c r="N48" s="39">
        <f t="shared" si="15"/>
        <v>117.5</v>
      </c>
      <c r="O48" s="40">
        <f t="shared" si="15"/>
        <v>73.2</v>
      </c>
      <c r="P48" s="40">
        <f t="shared" si="15"/>
        <v>128.5</v>
      </c>
      <c r="Q48" s="41">
        <f t="shared" si="15"/>
        <v>56.4</v>
      </c>
      <c r="R48" s="39">
        <f t="shared" si="15"/>
        <v>-28.500000000000004</v>
      </c>
      <c r="S48" s="40">
        <f t="shared" si="15"/>
        <v>99.10000000000001</v>
      </c>
      <c r="T48" s="40">
        <f t="shared" si="15"/>
        <v>118.20000000000002</v>
      </c>
      <c r="U48" s="41">
        <f t="shared" si="15"/>
        <v>118.29999999999995</v>
      </c>
      <c r="V48" s="40">
        <f t="shared" si="15"/>
        <v>187.1</v>
      </c>
      <c r="W48" s="40">
        <f t="shared" si="15"/>
        <v>244.2</v>
      </c>
      <c r="X48" s="40">
        <f t="shared" si="15"/>
        <v>483.59999999999997</v>
      </c>
      <c r="Y48" s="41">
        <f t="shared" si="15"/>
        <v>999.6999999999999</v>
      </c>
      <c r="Z48" s="39">
        <f t="shared" si="15"/>
        <v>840.1</v>
      </c>
      <c r="AA48" s="40">
        <f t="shared" si="15"/>
        <v>516.8</v>
      </c>
      <c r="AB48" s="40">
        <f t="shared" si="15"/>
        <v>419.29999999999995</v>
      </c>
      <c r="AC48" s="41">
        <f t="shared" si="15"/>
        <v>524.3</v>
      </c>
      <c r="AD48" s="39">
        <f aca="true" t="shared" si="16" ref="AD48:AI48">SUM(AD49:AD52)</f>
        <v>526.5</v>
      </c>
      <c r="AE48" s="40">
        <f t="shared" si="16"/>
        <v>1085.9</v>
      </c>
      <c r="AF48" s="40">
        <f t="shared" si="16"/>
        <v>1584.5</v>
      </c>
      <c r="AG48" s="41">
        <f t="shared" si="16"/>
        <v>1874.3000000000002</v>
      </c>
      <c r="AH48" s="40">
        <f t="shared" si="16"/>
        <v>1908.8000000000002</v>
      </c>
      <c r="AI48" s="40">
        <f t="shared" si="16"/>
        <v>888.3000000000001</v>
      </c>
      <c r="AJ48" s="40">
        <f>SUM(AJ49:AJ52)</f>
        <v>1316.9</v>
      </c>
      <c r="AK48" s="41">
        <v>1485</v>
      </c>
      <c r="AL48" s="40">
        <v>1774.8000000000002</v>
      </c>
      <c r="AM48" s="40">
        <f>SUM(AM49:AM52)</f>
        <v>1508</v>
      </c>
      <c r="AN48" s="40">
        <f>SUM(AN49:AN52)</f>
        <v>1341.8</v>
      </c>
      <c r="AO48" s="41">
        <f>SUM(AO49:AO52)</f>
        <v>577.5</v>
      </c>
      <c r="AP48" s="40">
        <f>SUM(AP49:AP52)</f>
        <v>589.6</v>
      </c>
      <c r="AQ48" s="40">
        <v>596.2</v>
      </c>
    </row>
    <row r="49" spans="1:43" s="7" customFormat="1" ht="12.75" outlineLevel="1">
      <c r="A49" s="268" t="s">
        <v>62</v>
      </c>
      <c r="B49" s="57">
        <v>22.1</v>
      </c>
      <c r="C49" s="58">
        <v>-65.1</v>
      </c>
      <c r="D49" s="58">
        <v>-76.9</v>
      </c>
      <c r="E49" s="58">
        <v>-149.6</v>
      </c>
      <c r="F49" s="57">
        <v>-143.9</v>
      </c>
      <c r="G49" s="58">
        <v>-239.1</v>
      </c>
      <c r="H49" s="58">
        <v>-127.5</v>
      </c>
      <c r="I49" s="59">
        <v>-101</v>
      </c>
      <c r="J49" s="57">
        <v>-119.2</v>
      </c>
      <c r="K49" s="58">
        <v>-60.3</v>
      </c>
      <c r="L49" s="58">
        <v>-36.6</v>
      </c>
      <c r="M49" s="59">
        <v>-1.4</v>
      </c>
      <c r="N49" s="57">
        <v>47.5</v>
      </c>
      <c r="O49" s="58">
        <v>-3.9</v>
      </c>
      <c r="P49" s="58">
        <v>42.9</v>
      </c>
      <c r="Q49" s="59">
        <v>8.6</v>
      </c>
      <c r="R49" s="57">
        <v>-46.2</v>
      </c>
      <c r="S49" s="58">
        <v>45.6</v>
      </c>
      <c r="T49" s="58">
        <v>6.1</v>
      </c>
      <c r="U49" s="59">
        <v>20.799999999999955</v>
      </c>
      <c r="V49" s="58">
        <v>99.5</v>
      </c>
      <c r="W49" s="58">
        <v>123.4</v>
      </c>
      <c r="X49" s="58">
        <v>290.9</v>
      </c>
      <c r="Y49" s="59">
        <v>590.6999999999999</v>
      </c>
      <c r="Z49" s="57">
        <v>421.9</v>
      </c>
      <c r="AA49" s="58">
        <v>247.20000000000002</v>
      </c>
      <c r="AB49" s="58">
        <v>186.4</v>
      </c>
      <c r="AC49" s="59">
        <v>273.7</v>
      </c>
      <c r="AD49" s="57">
        <v>220.20000000000002</v>
      </c>
      <c r="AE49" s="58">
        <v>393.4</v>
      </c>
      <c r="AF49" s="58">
        <v>535.4</v>
      </c>
      <c r="AG49" s="59">
        <v>561.2</v>
      </c>
      <c r="AH49" s="58">
        <v>592.3000000000001</v>
      </c>
      <c r="AI49" s="58">
        <v>365.8</v>
      </c>
      <c r="AJ49" s="58">
        <v>324</v>
      </c>
      <c r="AK49" s="59">
        <v>498.5</v>
      </c>
      <c r="AL49" s="58">
        <v>520.1</v>
      </c>
      <c r="AM49" s="58">
        <v>326.9</v>
      </c>
      <c r="AN49" s="323">
        <v>317.2</v>
      </c>
      <c r="AO49" s="59">
        <v>206.5</v>
      </c>
      <c r="AP49" s="58">
        <v>220.8</v>
      </c>
      <c r="AQ49" s="58">
        <v>255.1</v>
      </c>
    </row>
    <row r="50" spans="1:43" s="7" customFormat="1" ht="12.75" outlineLevel="1">
      <c r="A50" s="268" t="s">
        <v>63</v>
      </c>
      <c r="B50" s="57">
        <v>52.1</v>
      </c>
      <c r="C50" s="58">
        <v>53.7</v>
      </c>
      <c r="D50" s="58">
        <v>64.4</v>
      </c>
      <c r="E50" s="58">
        <v>58</v>
      </c>
      <c r="F50" s="57">
        <v>57.8</v>
      </c>
      <c r="G50" s="58">
        <v>50.8</v>
      </c>
      <c r="H50" s="58">
        <v>50.2</v>
      </c>
      <c r="I50" s="59">
        <v>52.9</v>
      </c>
      <c r="J50" s="57">
        <v>52.9</v>
      </c>
      <c r="K50" s="58">
        <v>52.8</v>
      </c>
      <c r="L50" s="58">
        <v>52.8</v>
      </c>
      <c r="M50" s="59">
        <v>51.1</v>
      </c>
      <c r="N50" s="57">
        <v>51.1</v>
      </c>
      <c r="O50" s="58">
        <v>51.1</v>
      </c>
      <c r="P50" s="58">
        <v>51.5</v>
      </c>
      <c r="Q50" s="59">
        <v>47.4</v>
      </c>
      <c r="R50" s="57">
        <v>45.9</v>
      </c>
      <c r="S50" s="58">
        <v>45.7</v>
      </c>
      <c r="T50" s="58">
        <v>44.7</v>
      </c>
      <c r="U50" s="59">
        <v>39.3</v>
      </c>
      <c r="V50" s="58">
        <v>38.6</v>
      </c>
      <c r="W50" s="58">
        <v>38.1</v>
      </c>
      <c r="X50" s="58">
        <v>38</v>
      </c>
      <c r="Y50" s="59">
        <v>42</v>
      </c>
      <c r="Z50" s="57">
        <v>42</v>
      </c>
      <c r="AA50" s="58">
        <v>41.6</v>
      </c>
      <c r="AB50" s="58">
        <v>41.4</v>
      </c>
      <c r="AC50" s="59">
        <v>43.2</v>
      </c>
      <c r="AD50" s="57">
        <v>41.7</v>
      </c>
      <c r="AE50" s="58">
        <v>41.7</v>
      </c>
      <c r="AF50" s="58">
        <v>40.3</v>
      </c>
      <c r="AG50" s="59">
        <v>31.4</v>
      </c>
      <c r="AH50" s="58">
        <v>31.9</v>
      </c>
      <c r="AI50" s="58">
        <v>26.799999999999997</v>
      </c>
      <c r="AJ50" s="58">
        <v>25.8</v>
      </c>
      <c r="AK50" s="59">
        <v>22.9</v>
      </c>
      <c r="AL50" s="58">
        <v>22.7</v>
      </c>
      <c r="AM50" s="58">
        <v>21.2</v>
      </c>
      <c r="AN50" s="323">
        <v>18.4</v>
      </c>
      <c r="AO50" s="59">
        <v>11.7</v>
      </c>
      <c r="AP50" s="58">
        <v>11.7</v>
      </c>
      <c r="AQ50" s="58">
        <v>11.7</v>
      </c>
    </row>
    <row r="51" spans="1:43" s="7" customFormat="1" ht="12.75" outlineLevel="1">
      <c r="A51" s="268" t="s">
        <v>64</v>
      </c>
      <c r="B51" s="57">
        <v>0</v>
      </c>
      <c r="C51" s="58">
        <v>0</v>
      </c>
      <c r="D51" s="58">
        <v>0</v>
      </c>
      <c r="E51" s="58">
        <v>0</v>
      </c>
      <c r="F51" s="57">
        <v>-3.9</v>
      </c>
      <c r="G51" s="58">
        <v>-20.2</v>
      </c>
      <c r="H51" s="58">
        <v>2.1</v>
      </c>
      <c r="I51" s="59">
        <v>45.6</v>
      </c>
      <c r="J51" s="57">
        <v>41.7</v>
      </c>
      <c r="K51" s="58">
        <v>19.7</v>
      </c>
      <c r="L51" s="58">
        <v>11.9</v>
      </c>
      <c r="M51" s="59">
        <v>-1</v>
      </c>
      <c r="N51" s="57">
        <v>18.9</v>
      </c>
      <c r="O51" s="58">
        <v>26</v>
      </c>
      <c r="P51" s="58">
        <v>34.1</v>
      </c>
      <c r="Q51" s="59">
        <v>0.4</v>
      </c>
      <c r="R51" s="57">
        <v>-28.2</v>
      </c>
      <c r="S51" s="58">
        <v>7.800000000000001</v>
      </c>
      <c r="T51" s="58">
        <v>67.4</v>
      </c>
      <c r="U51" s="59">
        <v>58.2</v>
      </c>
      <c r="V51" s="58">
        <v>49</v>
      </c>
      <c r="W51" s="58">
        <v>82.7</v>
      </c>
      <c r="X51" s="58">
        <v>154.7</v>
      </c>
      <c r="Y51" s="59">
        <v>367</v>
      </c>
      <c r="Z51" s="57">
        <v>375.8</v>
      </c>
      <c r="AA51" s="58">
        <v>227.6</v>
      </c>
      <c r="AB51" s="58">
        <v>191.1</v>
      </c>
      <c r="AC51" s="59">
        <v>205.5</v>
      </c>
      <c r="AD51" s="57">
        <v>262.7</v>
      </c>
      <c r="AE51" s="58">
        <v>648.9</v>
      </c>
      <c r="AF51" s="58">
        <v>1006.9</v>
      </c>
      <c r="AG51" s="59">
        <v>1278.3</v>
      </c>
      <c r="AH51" s="58">
        <v>1281.2</v>
      </c>
      <c r="AI51" s="58">
        <v>492.3</v>
      </c>
      <c r="AJ51" s="58">
        <v>963.7</v>
      </c>
      <c r="AK51" s="59">
        <v>960.6</v>
      </c>
      <c r="AL51" s="58">
        <v>1229</v>
      </c>
      <c r="AM51" s="58">
        <v>1156.9</v>
      </c>
      <c r="AN51" s="323">
        <v>1003.2</v>
      </c>
      <c r="AO51" s="59">
        <v>354.6</v>
      </c>
      <c r="AP51" s="58">
        <v>352.4</v>
      </c>
      <c r="AQ51" s="58">
        <v>324.7</v>
      </c>
    </row>
    <row r="52" spans="1:43" s="7" customFormat="1" ht="12.75" outlineLevel="1">
      <c r="A52" s="268" t="s">
        <v>313</v>
      </c>
      <c r="B52" s="57">
        <v>0</v>
      </c>
      <c r="C52" s="58">
        <v>0</v>
      </c>
      <c r="D52" s="58">
        <v>0</v>
      </c>
      <c r="E52" s="58">
        <v>0</v>
      </c>
      <c r="F52" s="57">
        <v>0</v>
      </c>
      <c r="G52" s="58">
        <v>0</v>
      </c>
      <c r="H52" s="58">
        <v>0</v>
      </c>
      <c r="I52" s="59">
        <v>0</v>
      </c>
      <c r="J52" s="57">
        <v>0</v>
      </c>
      <c r="K52" s="58">
        <v>0</v>
      </c>
      <c r="L52" s="58">
        <v>0</v>
      </c>
      <c r="M52" s="59">
        <v>0</v>
      </c>
      <c r="N52" s="57">
        <v>0</v>
      </c>
      <c r="O52" s="58">
        <v>0</v>
      </c>
      <c r="P52" s="58">
        <v>0</v>
      </c>
      <c r="Q52" s="59">
        <v>0</v>
      </c>
      <c r="R52" s="57">
        <v>0</v>
      </c>
      <c r="S52" s="58">
        <v>0</v>
      </c>
      <c r="T52" s="58">
        <v>0</v>
      </c>
      <c r="U52" s="59">
        <v>0</v>
      </c>
      <c r="V52" s="58">
        <v>0</v>
      </c>
      <c r="W52" s="58">
        <v>0</v>
      </c>
      <c r="X52" s="58">
        <v>0</v>
      </c>
      <c r="Y52" s="59">
        <v>0</v>
      </c>
      <c r="Z52" s="57">
        <v>0.4</v>
      </c>
      <c r="AA52" s="58">
        <v>0.4</v>
      </c>
      <c r="AB52" s="58">
        <v>0.4</v>
      </c>
      <c r="AC52" s="59">
        <v>1.9</v>
      </c>
      <c r="AD52" s="57">
        <v>1.9</v>
      </c>
      <c r="AE52" s="58">
        <v>1.9000000000000001</v>
      </c>
      <c r="AF52" s="58">
        <v>1.9000000000000001</v>
      </c>
      <c r="AG52" s="59">
        <v>3.4000000000000004</v>
      </c>
      <c r="AH52" s="58">
        <v>3.4000000000000004</v>
      </c>
      <c r="AI52" s="58">
        <v>3.4</v>
      </c>
      <c r="AJ52" s="58">
        <v>3.4</v>
      </c>
      <c r="AK52" s="59">
        <v>3</v>
      </c>
      <c r="AL52" s="58">
        <v>3</v>
      </c>
      <c r="AM52" s="58">
        <v>3</v>
      </c>
      <c r="AN52" s="323">
        <v>3</v>
      </c>
      <c r="AO52" s="59">
        <v>4.7</v>
      </c>
      <c r="AP52" s="58">
        <v>4.7</v>
      </c>
      <c r="AQ52" s="58">
        <v>4.7</v>
      </c>
    </row>
    <row r="53" spans="1:43" s="4" customFormat="1" ht="12.75">
      <c r="A53" s="102" t="s">
        <v>65</v>
      </c>
      <c r="B53" s="39">
        <v>2741.7</v>
      </c>
      <c r="C53" s="40">
        <v>2547</v>
      </c>
      <c r="D53" s="40">
        <v>2746.5</v>
      </c>
      <c r="E53" s="40">
        <v>2844</v>
      </c>
      <c r="F53" s="39">
        <v>3017.3</v>
      </c>
      <c r="G53" s="40">
        <v>3099.7</v>
      </c>
      <c r="H53" s="40">
        <v>3266.7</v>
      </c>
      <c r="I53" s="41">
        <v>3138.3</v>
      </c>
      <c r="J53" s="39">
        <v>3219.1</v>
      </c>
      <c r="K53" s="40">
        <v>3416</v>
      </c>
      <c r="L53" s="40">
        <v>3627.6</v>
      </c>
      <c r="M53" s="41">
        <v>3749.3</v>
      </c>
      <c r="N53" s="39">
        <v>3927.8</v>
      </c>
      <c r="O53" s="40">
        <v>4120.6</v>
      </c>
      <c r="P53" s="40">
        <v>4314.599999999999</v>
      </c>
      <c r="Q53" s="41">
        <v>4508</v>
      </c>
      <c r="R53" s="39">
        <v>4724.1</v>
      </c>
      <c r="S53" s="40">
        <v>4766</v>
      </c>
      <c r="T53" s="40">
        <v>4990</v>
      </c>
      <c r="U53" s="41">
        <v>5209</v>
      </c>
      <c r="V53" s="40">
        <v>5477.6</v>
      </c>
      <c r="W53" s="40">
        <v>5648.2</v>
      </c>
      <c r="X53" s="40">
        <v>5854.9</v>
      </c>
      <c r="Y53" s="41">
        <v>6047.7</v>
      </c>
      <c r="Z53" s="39">
        <v>6310</v>
      </c>
      <c r="AA53" s="40">
        <v>6528</v>
      </c>
      <c r="AB53" s="40">
        <v>6763.5</v>
      </c>
      <c r="AC53" s="41">
        <v>7015.599999999999</v>
      </c>
      <c r="AD53" s="39">
        <v>7272.699999999999</v>
      </c>
      <c r="AE53" s="40">
        <v>6986.399999999999</v>
      </c>
      <c r="AF53" s="40">
        <v>7260.699999999999</v>
      </c>
      <c r="AG53" s="41">
        <v>7493.299999999999</v>
      </c>
      <c r="AH53" s="40">
        <v>7234.299999999999</v>
      </c>
      <c r="AI53" s="40">
        <v>7581.4</v>
      </c>
      <c r="AJ53" s="40">
        <v>7898.499999999999</v>
      </c>
      <c r="AK53" s="41">
        <v>8106.499999999999</v>
      </c>
      <c r="AL53" s="40">
        <v>7806.5</v>
      </c>
      <c r="AM53" s="40">
        <v>8215.699999999999</v>
      </c>
      <c r="AN53" s="40">
        <v>8548.5</v>
      </c>
      <c r="AO53" s="41">
        <v>8811</v>
      </c>
      <c r="AP53" s="40">
        <v>9111.3</v>
      </c>
      <c r="AQ53" s="40">
        <v>9471.5</v>
      </c>
    </row>
    <row r="54" spans="1:43" s="13" customFormat="1" ht="12.75">
      <c r="A54" s="98" t="s">
        <v>66</v>
      </c>
      <c r="B54" s="93">
        <f aca="true" t="shared" si="17" ref="B54:AL54">SUM(B46:B48,B53:B53)</f>
        <v>3902.2999999999997</v>
      </c>
      <c r="C54" s="94">
        <f t="shared" si="17"/>
        <v>3622</v>
      </c>
      <c r="D54" s="94">
        <f t="shared" si="17"/>
        <v>3820.3999999999996</v>
      </c>
      <c r="E54" s="94">
        <f t="shared" si="17"/>
        <v>3838.7999999999997</v>
      </c>
      <c r="F54" s="93">
        <f t="shared" si="17"/>
        <v>4013.7</v>
      </c>
      <c r="G54" s="94">
        <f t="shared" si="17"/>
        <v>3977.5999999999995</v>
      </c>
      <c r="H54" s="94">
        <f t="shared" si="17"/>
        <v>4277.9</v>
      </c>
      <c r="I54" s="94">
        <f t="shared" si="17"/>
        <v>4222.2</v>
      </c>
      <c r="J54" s="93">
        <f t="shared" si="17"/>
        <v>4280.9</v>
      </c>
      <c r="K54" s="94">
        <f t="shared" si="17"/>
        <v>4514.6</v>
      </c>
      <c r="L54" s="94">
        <f t="shared" si="17"/>
        <v>4742.099999999999</v>
      </c>
      <c r="M54" s="94">
        <f t="shared" si="17"/>
        <v>4884.4</v>
      </c>
      <c r="N54" s="93">
        <f t="shared" si="17"/>
        <v>5131.7</v>
      </c>
      <c r="O54" s="94">
        <f t="shared" si="17"/>
        <v>5280.200000000001</v>
      </c>
      <c r="P54" s="94">
        <f t="shared" si="17"/>
        <v>5529.499999999999</v>
      </c>
      <c r="Q54" s="94">
        <f t="shared" si="17"/>
        <v>5650.8</v>
      </c>
      <c r="R54" s="93">
        <f t="shared" si="17"/>
        <v>5782</v>
      </c>
      <c r="S54" s="94">
        <f t="shared" si="17"/>
        <v>5951.5</v>
      </c>
      <c r="T54" s="94">
        <f t="shared" si="17"/>
        <v>6194.6</v>
      </c>
      <c r="U54" s="94">
        <f t="shared" si="17"/>
        <v>6413.7</v>
      </c>
      <c r="V54" s="93">
        <f t="shared" si="17"/>
        <v>6751.1</v>
      </c>
      <c r="W54" s="94">
        <f t="shared" si="17"/>
        <v>6978.8</v>
      </c>
      <c r="X54" s="94">
        <f t="shared" si="17"/>
        <v>7424.9</v>
      </c>
      <c r="Y54" s="95">
        <f t="shared" si="17"/>
        <v>8133.799999999999</v>
      </c>
      <c r="Z54" s="93">
        <f t="shared" si="17"/>
        <v>8236.5</v>
      </c>
      <c r="AA54" s="94">
        <f t="shared" si="17"/>
        <v>8131.2</v>
      </c>
      <c r="AB54" s="94">
        <f t="shared" si="17"/>
        <v>8269.2</v>
      </c>
      <c r="AC54" s="95">
        <f t="shared" si="17"/>
        <v>8626.3</v>
      </c>
      <c r="AD54" s="93">
        <f t="shared" si="17"/>
        <v>8885.599999999999</v>
      </c>
      <c r="AE54" s="94">
        <f t="shared" si="17"/>
        <v>9158.699999999999</v>
      </c>
      <c r="AF54" s="94">
        <f t="shared" si="17"/>
        <v>9931.599999999999</v>
      </c>
      <c r="AG54" s="95">
        <f t="shared" si="17"/>
        <v>10454</v>
      </c>
      <c r="AH54" s="94">
        <f t="shared" si="17"/>
        <v>10229.5</v>
      </c>
      <c r="AI54" s="94">
        <f t="shared" si="17"/>
        <v>9556.1</v>
      </c>
      <c r="AJ54" s="94">
        <f t="shared" si="17"/>
        <v>10301.8</v>
      </c>
      <c r="AK54" s="95">
        <f t="shared" si="17"/>
        <v>10677.899999999998</v>
      </c>
      <c r="AL54" s="94">
        <f t="shared" si="17"/>
        <v>10667.7</v>
      </c>
      <c r="AM54" s="94">
        <f>SUM(AM46:AM48,AM53:AM53)</f>
        <v>10810.099999999999</v>
      </c>
      <c r="AN54" s="94">
        <f>SUM(AN46:AN48,AN53:AN53)</f>
        <v>10976.7</v>
      </c>
      <c r="AO54" s="95">
        <f>SUM(AO46:AO48,AO53:AO53)</f>
        <v>10474.9</v>
      </c>
      <c r="AP54" s="94">
        <f>SUM(AP46:AP48,AP53:AP53)</f>
        <v>10787.3</v>
      </c>
      <c r="AQ54" s="94">
        <f>SUM(AQ46:AQ48,AQ53:AQ53)</f>
        <v>11154.1</v>
      </c>
    </row>
    <row r="55" spans="1:43" ht="6" customHeight="1">
      <c r="A55" s="87"/>
      <c r="B55" s="39"/>
      <c r="C55" s="40"/>
      <c r="D55" s="40"/>
      <c r="E55" s="40"/>
      <c r="F55" s="39"/>
      <c r="G55" s="40"/>
      <c r="H55" s="40"/>
      <c r="I55" s="41"/>
      <c r="J55" s="39"/>
      <c r="K55" s="40"/>
      <c r="L55" s="40"/>
      <c r="M55" s="41"/>
      <c r="N55" s="39"/>
      <c r="O55" s="40"/>
      <c r="P55" s="40"/>
      <c r="Q55" s="41"/>
      <c r="R55" s="39"/>
      <c r="S55" s="40"/>
      <c r="T55" s="40"/>
      <c r="U55" s="41"/>
      <c r="V55" s="40"/>
      <c r="W55" s="40"/>
      <c r="X55" s="40"/>
      <c r="Y55" s="41"/>
      <c r="Z55" s="39"/>
      <c r="AA55" s="40"/>
      <c r="AB55" s="40"/>
      <c r="AC55" s="41"/>
      <c r="AD55" s="39"/>
      <c r="AE55" s="40"/>
      <c r="AF55" s="40"/>
      <c r="AG55" s="41"/>
      <c r="AH55" s="40"/>
      <c r="AI55" s="40"/>
      <c r="AJ55" s="40"/>
      <c r="AK55" s="41"/>
      <c r="AL55" s="40"/>
      <c r="AM55" s="40"/>
      <c r="AN55" s="40"/>
      <c r="AO55" s="41"/>
      <c r="AP55" s="40"/>
      <c r="AQ55" s="40"/>
    </row>
    <row r="56" spans="1:43" ht="12.75">
      <c r="A56" s="103" t="s">
        <v>67</v>
      </c>
      <c r="B56" s="39">
        <v>25.9</v>
      </c>
      <c r="C56" s="40">
        <v>28.9</v>
      </c>
      <c r="D56" s="40">
        <v>1.7</v>
      </c>
      <c r="E56" s="40">
        <v>1.7</v>
      </c>
      <c r="F56" s="39">
        <v>1.7</v>
      </c>
      <c r="G56" s="40">
        <v>1.7</v>
      </c>
      <c r="H56" s="40">
        <v>1.8</v>
      </c>
      <c r="I56" s="41">
        <v>2.3</v>
      </c>
      <c r="J56" s="39">
        <v>2.3</v>
      </c>
      <c r="K56" s="40">
        <v>2.3</v>
      </c>
      <c r="L56" s="40">
        <v>2.3</v>
      </c>
      <c r="M56" s="41">
        <v>2.3</v>
      </c>
      <c r="N56" s="39">
        <v>2.3</v>
      </c>
      <c r="O56" s="40">
        <v>2.3</v>
      </c>
      <c r="P56" s="40">
        <v>2.4</v>
      </c>
      <c r="Q56" s="41">
        <v>2.3</v>
      </c>
      <c r="R56" s="39">
        <v>2.3</v>
      </c>
      <c r="S56" s="40">
        <v>2.3</v>
      </c>
      <c r="T56" s="40">
        <v>2.3</v>
      </c>
      <c r="U56" s="41">
        <v>2.3</v>
      </c>
      <c r="V56" s="40">
        <v>2.3</v>
      </c>
      <c r="W56" s="40">
        <v>2.3</v>
      </c>
      <c r="X56" s="40">
        <v>2.3</v>
      </c>
      <c r="Y56" s="41">
        <v>2.3</v>
      </c>
      <c r="Z56" s="39">
        <v>2.3</v>
      </c>
      <c r="AA56" s="40">
        <v>2.3</v>
      </c>
      <c r="AB56" s="40">
        <v>2.3</v>
      </c>
      <c r="AC56" s="41">
        <v>2.3</v>
      </c>
      <c r="AD56" s="39">
        <v>2.3</v>
      </c>
      <c r="AE56" s="40">
        <v>2.4000000000000012</v>
      </c>
      <c r="AF56" s="40">
        <v>2.6</v>
      </c>
      <c r="AG56" s="41">
        <v>2.6</v>
      </c>
      <c r="AH56" s="40">
        <v>2.6</v>
      </c>
      <c r="AI56" s="40">
        <v>2.6</v>
      </c>
      <c r="AJ56" s="40">
        <v>2.6</v>
      </c>
      <c r="AK56" s="41">
        <v>2.6</v>
      </c>
      <c r="AL56" s="40">
        <v>2.5</v>
      </c>
      <c r="AM56" s="40">
        <v>2.5</v>
      </c>
      <c r="AN56" s="40">
        <v>2.3</v>
      </c>
      <c r="AO56" s="41">
        <v>2.3</v>
      </c>
      <c r="AP56" s="40">
        <v>2.1</v>
      </c>
      <c r="AQ56" s="40">
        <v>0</v>
      </c>
    </row>
    <row r="57" spans="1:43" ht="6" customHeight="1">
      <c r="A57" s="103"/>
      <c r="B57" s="39"/>
      <c r="C57" s="40"/>
      <c r="D57" s="40"/>
      <c r="E57" s="40"/>
      <c r="F57" s="39"/>
      <c r="G57" s="40"/>
      <c r="H57" s="40"/>
      <c r="I57" s="41"/>
      <c r="J57" s="39"/>
      <c r="K57" s="40"/>
      <c r="L57" s="40"/>
      <c r="M57" s="41"/>
      <c r="N57" s="39"/>
      <c r="O57" s="40"/>
      <c r="P57" s="40"/>
      <c r="Q57" s="41"/>
      <c r="R57" s="39"/>
      <c r="S57" s="40"/>
      <c r="T57" s="40"/>
      <c r="U57" s="41"/>
      <c r="V57" s="40"/>
      <c r="W57" s="40"/>
      <c r="X57" s="40"/>
      <c r="Y57" s="41"/>
      <c r="Z57" s="39"/>
      <c r="AA57" s="40"/>
      <c r="AB57" s="40"/>
      <c r="AC57" s="41"/>
      <c r="AD57" s="39"/>
      <c r="AE57" s="40"/>
      <c r="AF57" s="40"/>
      <c r="AG57" s="41"/>
      <c r="AH57" s="40"/>
      <c r="AI57" s="40"/>
      <c r="AJ57" s="40"/>
      <c r="AK57" s="41"/>
      <c r="AL57" s="40"/>
      <c r="AM57" s="40"/>
      <c r="AN57" s="40"/>
      <c r="AO57" s="41"/>
      <c r="AP57" s="40"/>
      <c r="AQ57" s="40"/>
    </row>
    <row r="58" spans="1:43" s="13" customFormat="1" ht="12.75">
      <c r="A58" s="98" t="s">
        <v>68</v>
      </c>
      <c r="B58" s="93">
        <f>B54+B56</f>
        <v>3928.2</v>
      </c>
      <c r="C58" s="94">
        <f aca="true" t="shared" si="18" ref="C58:V58">C54+C56</f>
        <v>3650.9</v>
      </c>
      <c r="D58" s="94">
        <f t="shared" si="18"/>
        <v>3822.0999999999995</v>
      </c>
      <c r="E58" s="94">
        <f t="shared" si="18"/>
        <v>3840.4999999999995</v>
      </c>
      <c r="F58" s="93">
        <f t="shared" si="18"/>
        <v>4015.3999999999996</v>
      </c>
      <c r="G58" s="94">
        <f t="shared" si="18"/>
        <v>3979.2999999999993</v>
      </c>
      <c r="H58" s="94">
        <f t="shared" si="18"/>
        <v>4279.7</v>
      </c>
      <c r="I58" s="94">
        <f t="shared" si="18"/>
        <v>4224.5</v>
      </c>
      <c r="J58" s="93">
        <f t="shared" si="18"/>
        <v>4283.2</v>
      </c>
      <c r="K58" s="94">
        <f t="shared" si="18"/>
        <v>4516.900000000001</v>
      </c>
      <c r="L58" s="94">
        <f t="shared" si="18"/>
        <v>4744.4</v>
      </c>
      <c r="M58" s="94">
        <f t="shared" si="18"/>
        <v>4886.7</v>
      </c>
      <c r="N58" s="93">
        <f t="shared" si="18"/>
        <v>5134</v>
      </c>
      <c r="O58" s="94">
        <f t="shared" si="18"/>
        <v>5282.500000000001</v>
      </c>
      <c r="P58" s="94">
        <f t="shared" si="18"/>
        <v>5531.899999999999</v>
      </c>
      <c r="Q58" s="94">
        <f t="shared" si="18"/>
        <v>5653.1</v>
      </c>
      <c r="R58" s="93">
        <f t="shared" si="18"/>
        <v>5784.3</v>
      </c>
      <c r="S58" s="94">
        <f t="shared" si="18"/>
        <v>5953.8</v>
      </c>
      <c r="T58" s="94">
        <f t="shared" si="18"/>
        <v>6196.900000000001</v>
      </c>
      <c r="U58" s="94">
        <f t="shared" si="18"/>
        <v>6416</v>
      </c>
      <c r="V58" s="93">
        <f t="shared" si="18"/>
        <v>6753.400000000001</v>
      </c>
      <c r="W58" s="94">
        <f>W54+W56</f>
        <v>6981.1</v>
      </c>
      <c r="X58" s="94">
        <f aca="true" t="shared" si="19" ref="X58:AC58">X54+X56</f>
        <v>7427.2</v>
      </c>
      <c r="Y58" s="95">
        <f t="shared" si="19"/>
        <v>8136.099999999999</v>
      </c>
      <c r="Z58" s="93">
        <f t="shared" si="19"/>
        <v>8238.8</v>
      </c>
      <c r="AA58" s="94">
        <f t="shared" si="19"/>
        <v>8133.5</v>
      </c>
      <c r="AB58" s="94">
        <f t="shared" si="19"/>
        <v>8271.5</v>
      </c>
      <c r="AC58" s="95">
        <f t="shared" si="19"/>
        <v>8628.599999999999</v>
      </c>
      <c r="AD58" s="93">
        <f aca="true" t="shared" si="20" ref="AD58:AI58">AD54+AD56</f>
        <v>8887.899999999998</v>
      </c>
      <c r="AE58" s="94">
        <f t="shared" si="20"/>
        <v>9161.099999999999</v>
      </c>
      <c r="AF58" s="94">
        <f t="shared" si="20"/>
        <v>9934.199999999999</v>
      </c>
      <c r="AG58" s="95">
        <f t="shared" si="20"/>
        <v>10456.6</v>
      </c>
      <c r="AH58" s="94">
        <f t="shared" si="20"/>
        <v>10232.1</v>
      </c>
      <c r="AI58" s="94">
        <f t="shared" si="20"/>
        <v>9558.7</v>
      </c>
      <c r="AJ58" s="94">
        <f aca="true" t="shared" si="21" ref="AJ58:AQ58">AJ54+AJ56</f>
        <v>10304.4</v>
      </c>
      <c r="AK58" s="95">
        <f t="shared" si="21"/>
        <v>10680.499999999998</v>
      </c>
      <c r="AL58" s="94">
        <f t="shared" si="21"/>
        <v>10670.2</v>
      </c>
      <c r="AM58" s="94">
        <f t="shared" si="21"/>
        <v>10812.599999999999</v>
      </c>
      <c r="AN58" s="94">
        <f t="shared" si="21"/>
        <v>10979</v>
      </c>
      <c r="AO58" s="95">
        <f t="shared" si="21"/>
        <v>10477.199999999999</v>
      </c>
      <c r="AP58" s="94">
        <f t="shared" si="21"/>
        <v>10789.4</v>
      </c>
      <c r="AQ58" s="94">
        <f t="shared" si="21"/>
        <v>11154.1</v>
      </c>
    </row>
    <row r="59" spans="1:43" ht="12.75">
      <c r="A59" s="103"/>
      <c r="B59" s="39"/>
      <c r="C59" s="40"/>
      <c r="D59" s="40"/>
      <c r="E59" s="40"/>
      <c r="F59" s="39"/>
      <c r="G59" s="40"/>
      <c r="H59" s="40"/>
      <c r="I59" s="41"/>
      <c r="J59" s="39"/>
      <c r="K59" s="40"/>
      <c r="L59" s="40"/>
      <c r="M59" s="41"/>
      <c r="N59" s="39"/>
      <c r="O59" s="40"/>
      <c r="P59" s="40"/>
      <c r="Q59" s="41"/>
      <c r="R59" s="39"/>
      <c r="S59" s="40"/>
      <c r="T59" s="40"/>
      <c r="U59" s="41"/>
      <c r="V59" s="40"/>
      <c r="W59" s="40"/>
      <c r="X59" s="40"/>
      <c r="Y59" s="41"/>
      <c r="Z59" s="39"/>
      <c r="AA59" s="40"/>
      <c r="AB59" s="40"/>
      <c r="AC59" s="41"/>
      <c r="AD59" s="39"/>
      <c r="AE59" s="40"/>
      <c r="AF59" s="40"/>
      <c r="AG59" s="41"/>
      <c r="AH59" s="40"/>
      <c r="AI59" s="40"/>
      <c r="AJ59" s="40"/>
      <c r="AK59" s="41"/>
      <c r="AL59" s="40"/>
      <c r="AM59" s="40"/>
      <c r="AN59" s="40"/>
      <c r="AO59" s="41"/>
      <c r="AP59" s="40"/>
      <c r="AQ59" s="40"/>
    </row>
    <row r="60" spans="1:43" s="13" customFormat="1" ht="12.75">
      <c r="A60" s="98" t="s">
        <v>69</v>
      </c>
      <c r="B60" s="93">
        <f aca="true" t="shared" si="22" ref="B60:AL60">B44+B58</f>
        <v>56616.9</v>
      </c>
      <c r="C60" s="94">
        <f t="shared" si="22"/>
        <v>53203.1</v>
      </c>
      <c r="D60" s="94">
        <f t="shared" si="22"/>
        <v>53246.6</v>
      </c>
      <c r="E60" s="94">
        <f t="shared" si="22"/>
        <v>52010.799999999996</v>
      </c>
      <c r="F60" s="93">
        <f t="shared" si="22"/>
        <v>60234.40000000001</v>
      </c>
      <c r="G60" s="94">
        <f t="shared" si="22"/>
        <v>60513.2</v>
      </c>
      <c r="H60" s="94">
        <f t="shared" si="22"/>
        <v>65262.59999999999</v>
      </c>
      <c r="I60" s="94">
        <f t="shared" si="22"/>
        <v>69610.5</v>
      </c>
      <c r="J60" s="93">
        <f t="shared" si="22"/>
        <v>68205.8</v>
      </c>
      <c r="K60" s="94">
        <f t="shared" si="22"/>
        <v>64516.5</v>
      </c>
      <c r="L60" s="94">
        <f t="shared" si="22"/>
        <v>64256.4</v>
      </c>
      <c r="M60" s="94">
        <f t="shared" si="22"/>
        <v>59883.399999999994</v>
      </c>
      <c r="N60" s="93">
        <f t="shared" si="22"/>
        <v>62099.1</v>
      </c>
      <c r="O60" s="94">
        <f t="shared" si="22"/>
        <v>61583</v>
      </c>
      <c r="P60" s="94">
        <f t="shared" si="22"/>
        <v>62165.5</v>
      </c>
      <c r="Q60" s="94">
        <f t="shared" si="22"/>
        <v>64517.50000000001</v>
      </c>
      <c r="R60" s="93">
        <f t="shared" si="22"/>
        <v>65839.80000000002</v>
      </c>
      <c r="S60" s="94">
        <f t="shared" si="22"/>
        <v>67500.9</v>
      </c>
      <c r="T60" s="94">
        <f t="shared" si="22"/>
        <v>73696.09999999999</v>
      </c>
      <c r="U60" s="94">
        <f t="shared" si="22"/>
        <v>69723.4</v>
      </c>
      <c r="V60" s="93">
        <f t="shared" si="22"/>
        <v>72263.09999999998</v>
      </c>
      <c r="W60" s="94">
        <f t="shared" si="22"/>
        <v>70260.1</v>
      </c>
      <c r="X60" s="94">
        <f t="shared" si="22"/>
        <v>73637.8</v>
      </c>
      <c r="Y60" s="95">
        <f t="shared" si="22"/>
        <v>78266.8</v>
      </c>
      <c r="Z60" s="93">
        <f t="shared" si="22"/>
        <v>77753.79999999999</v>
      </c>
      <c r="AA60" s="94">
        <f t="shared" si="22"/>
        <v>81790.6</v>
      </c>
      <c r="AB60" s="94">
        <f t="shared" si="22"/>
        <v>84639.5</v>
      </c>
      <c r="AC60" s="95">
        <f t="shared" si="22"/>
        <v>86750.59999999998</v>
      </c>
      <c r="AD60" s="93">
        <f t="shared" si="22"/>
        <v>92244.69999999998</v>
      </c>
      <c r="AE60" s="94">
        <f t="shared" si="22"/>
        <v>98261.80000000002</v>
      </c>
      <c r="AF60" s="94">
        <f t="shared" si="22"/>
        <v>96848.50000000001</v>
      </c>
      <c r="AG60" s="95">
        <f t="shared" si="22"/>
        <v>99860.7</v>
      </c>
      <c r="AH60" s="94">
        <f t="shared" si="22"/>
        <v>102568.30000000003</v>
      </c>
      <c r="AI60" s="94">
        <f t="shared" si="22"/>
        <v>105318.9</v>
      </c>
      <c r="AJ60" s="94">
        <f t="shared" si="22"/>
        <v>112180.69999999998</v>
      </c>
      <c r="AK60" s="95">
        <f t="shared" si="22"/>
        <v>108893.1</v>
      </c>
      <c r="AL60" s="94">
        <f t="shared" si="22"/>
        <v>112732.7</v>
      </c>
      <c r="AM60" s="94">
        <f>AM44+AM58</f>
        <v>115639.70000000001</v>
      </c>
      <c r="AN60" s="94">
        <f>AN44+AN58</f>
        <v>116550.00000000001</v>
      </c>
      <c r="AO60" s="95">
        <f>AO44+AO58</f>
        <v>117477.69999999998</v>
      </c>
      <c r="AP60" s="94">
        <f>AP44+AP58</f>
        <v>118850.5</v>
      </c>
      <c r="AQ60" s="94">
        <f>AQ44+AQ58</f>
        <v>120197.6</v>
      </c>
    </row>
    <row r="61" spans="1:42" ht="12.75">
      <c r="A61" s="3"/>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row>
    <row r="62" spans="26:42" ht="12.75">
      <c r="Z62" s="114"/>
      <c r="AA62" s="114"/>
      <c r="AB62" s="114"/>
      <c r="AC62" s="114"/>
      <c r="AD62" s="114"/>
      <c r="AE62" s="114"/>
      <c r="AF62" s="114"/>
      <c r="AG62" s="114"/>
      <c r="AH62" s="114"/>
      <c r="AI62" s="114"/>
      <c r="AJ62" s="114"/>
      <c r="AK62" s="114"/>
      <c r="AL62" s="114"/>
      <c r="AM62" s="114"/>
      <c r="AN62" s="114"/>
      <c r="AO62" s="114"/>
      <c r="AP62" s="114"/>
    </row>
  </sheetData>
  <sheetProtection/>
  <mergeCells count="12">
    <mergeCell ref="A2:A3"/>
    <mergeCell ref="B2:E2"/>
    <mergeCell ref="F2:I2"/>
    <mergeCell ref="J2:M2"/>
    <mergeCell ref="AH2:AK2"/>
    <mergeCell ref="N2:Q2"/>
    <mergeCell ref="AD2:AG2"/>
    <mergeCell ref="AP2:AQ2"/>
    <mergeCell ref="Z2:AC2"/>
    <mergeCell ref="V2:Y2"/>
    <mergeCell ref="R2:U2"/>
    <mergeCell ref="AL2:AO2"/>
  </mergeCells>
  <printOptions horizontalCentered="1"/>
  <pageMargins left="0.2362204724409449" right="0.2362204724409449" top="0.7480314960629921" bottom="0.7480314960629921" header="0.31496062992125984" footer="0.31496062992125984"/>
  <pageSetup horizontalDpi="600" verticalDpi="600" orientation="landscape" paperSize="9" scale="37" r:id="rId1"/>
  <headerFooter alignWithMargins="0">
    <oddHeader>&amp;C&amp;"Times New Roman,Kursywa"&amp;12
</oddHeader>
  </headerFooter>
  <ignoredErrors>
    <ignoredError sqref="B55:Y57 B59:Y59 C58:V58 C60:Y60 X58:Y58 B18:Y18 B10:AC17 B23:Y25 B41:Y43 B6:AD9 B44:AC44 Z42:AD43 Z23:AC23 B22:AC22 Z18:AC21 B27:AC30 B39:AD40 B45:AD52 B20:Y21 B19 D19:Y19 AE40:AE52 AF55:AF58 B31:E31 B32:AC34 B35:E35 AF39:AF52 Z41:AB41 AD41 Z25:AC25 Z24:AB24 AF54:AJ54 AG39:AJ48 AH30:AJ34 AG10:AJ29 AD10:AF30 AD31:AG34 AG30 AG35:AJ37 AF36:AF37 B36:AD37 B54:AD54 AE54:AE58" formulaRange="1"/>
  </ignoredErrors>
</worksheet>
</file>

<file path=xl/worksheets/sheet9.xml><?xml version="1.0" encoding="utf-8"?>
<worksheet xmlns="http://schemas.openxmlformats.org/spreadsheetml/2006/main" xmlns:r="http://schemas.openxmlformats.org/officeDocument/2006/relationships">
  <dimension ref="A1:AQ97"/>
  <sheetViews>
    <sheetView showGridLines="0" view="pageBreakPreview" zoomScaleSheetLayoutView="100" zoomScalePageLayoutView="80" workbookViewId="0" topLeftCell="A1">
      <pane xSplit="1" ySplit="3" topLeftCell="Y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cols>
    <col min="1" max="1" width="54.125" style="2" customWidth="1"/>
    <col min="2" max="29" width="7.875" style="3" customWidth="1"/>
    <col min="30" max="42" width="8.125" style="3" bestFit="1" customWidth="1"/>
    <col min="43" max="16384" width="8.875" style="3" customWidth="1"/>
  </cols>
  <sheetData>
    <row r="1" spans="1:42" ht="12.75">
      <c r="A1" s="246" t="s">
        <v>281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3" ht="12.75" customHeight="1">
      <c r="A2" s="332" t="s">
        <v>122</v>
      </c>
      <c r="B2" s="334">
        <v>2007</v>
      </c>
      <c r="C2" s="335"/>
      <c r="D2" s="335"/>
      <c r="E2" s="335"/>
      <c r="F2" s="334">
        <v>2008</v>
      </c>
      <c r="G2" s="335"/>
      <c r="H2" s="335"/>
      <c r="I2" s="335"/>
      <c r="J2" s="334">
        <v>2009</v>
      </c>
      <c r="K2" s="335"/>
      <c r="L2" s="335"/>
      <c r="M2" s="335"/>
      <c r="N2" s="334">
        <v>2010</v>
      </c>
      <c r="O2" s="335"/>
      <c r="P2" s="335"/>
      <c r="Q2" s="335"/>
      <c r="R2" s="334">
        <v>2011</v>
      </c>
      <c r="S2" s="335"/>
      <c r="T2" s="335"/>
      <c r="U2" s="335"/>
      <c r="V2" s="334">
        <v>2012</v>
      </c>
      <c r="W2" s="335"/>
      <c r="X2" s="335"/>
      <c r="Y2" s="337"/>
      <c r="Z2" s="334">
        <v>2013</v>
      </c>
      <c r="AA2" s="335"/>
      <c r="AB2" s="335"/>
      <c r="AC2" s="337"/>
      <c r="AD2" s="340">
        <v>2014</v>
      </c>
      <c r="AE2" s="335"/>
      <c r="AF2" s="335"/>
      <c r="AG2" s="336"/>
      <c r="AH2" s="340">
        <v>2015</v>
      </c>
      <c r="AI2" s="335"/>
      <c r="AJ2" s="335"/>
      <c r="AK2" s="336"/>
      <c r="AL2" s="340">
        <v>2016</v>
      </c>
      <c r="AM2" s="335"/>
      <c r="AN2" s="335"/>
      <c r="AO2" s="336"/>
      <c r="AP2" s="344">
        <v>2017</v>
      </c>
      <c r="AQ2" s="345"/>
    </row>
    <row r="3" spans="1:43" s="4" customFormat="1" ht="12.75" customHeight="1">
      <c r="A3" s="333"/>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190" t="s">
        <v>0</v>
      </c>
      <c r="AE3" s="191" t="s">
        <v>1</v>
      </c>
      <c r="AF3" s="191" t="s">
        <v>2</v>
      </c>
      <c r="AG3" s="192" t="s">
        <v>3</v>
      </c>
      <c r="AH3" s="191" t="s">
        <v>0</v>
      </c>
      <c r="AI3" s="191" t="s">
        <v>1</v>
      </c>
      <c r="AJ3" s="191" t="s">
        <v>2</v>
      </c>
      <c r="AK3" s="192" t="s">
        <v>3</v>
      </c>
      <c r="AL3" s="191" t="s">
        <v>0</v>
      </c>
      <c r="AM3" s="191" t="s">
        <v>1</v>
      </c>
      <c r="AN3" s="191" t="s">
        <v>2</v>
      </c>
      <c r="AO3" s="192" t="s">
        <v>3</v>
      </c>
      <c r="AP3" s="191" t="s">
        <v>0</v>
      </c>
      <c r="AQ3" s="191" t="s">
        <v>1</v>
      </c>
    </row>
    <row r="4" spans="1:43"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5"/>
      <c r="AI4" s="5"/>
      <c r="AJ4" s="5"/>
      <c r="AK4" s="18"/>
      <c r="AL4" s="5"/>
      <c r="AM4" s="5"/>
      <c r="AN4" s="5"/>
      <c r="AO4" s="18"/>
      <c r="AP4" s="5"/>
      <c r="AQ4" s="5"/>
    </row>
    <row r="5" spans="1:43" s="205" customFormat="1" ht="12">
      <c r="A5" s="8" t="s">
        <v>282</v>
      </c>
      <c r="B5" s="202">
        <f>SUM(B6:B9)</f>
        <v>14362</v>
      </c>
      <c r="C5" s="203">
        <f aca="true" t="shared" si="0" ref="C5:AB5">SUM(C6:C9)</f>
        <v>15091.300000000001</v>
      </c>
      <c r="D5" s="203">
        <f t="shared" si="0"/>
        <v>15905.499999999998</v>
      </c>
      <c r="E5" s="203">
        <f t="shared" si="0"/>
        <v>16786.899999999998</v>
      </c>
      <c r="F5" s="202">
        <f t="shared" si="0"/>
        <v>18454.1</v>
      </c>
      <c r="G5" s="203">
        <f t="shared" si="0"/>
        <v>19814.300000000003</v>
      </c>
      <c r="H5" s="203">
        <f t="shared" si="0"/>
        <v>22105.7</v>
      </c>
      <c r="I5" s="204">
        <f t="shared" si="0"/>
        <v>24298</v>
      </c>
      <c r="J5" s="202">
        <f t="shared" si="0"/>
        <v>25614.5</v>
      </c>
      <c r="K5" s="203">
        <f t="shared" si="0"/>
        <v>25776.7</v>
      </c>
      <c r="L5" s="203">
        <f t="shared" si="0"/>
        <v>26134</v>
      </c>
      <c r="M5" s="204">
        <f t="shared" si="0"/>
        <v>27361.399999999998</v>
      </c>
      <c r="N5" s="202">
        <f t="shared" si="0"/>
        <v>27576.4</v>
      </c>
      <c r="O5" s="203">
        <f t="shared" si="0"/>
        <v>28994.4</v>
      </c>
      <c r="P5" s="203">
        <f t="shared" si="0"/>
        <v>30667.8</v>
      </c>
      <c r="Q5" s="204">
        <f t="shared" si="0"/>
        <v>32178.300000000003</v>
      </c>
      <c r="R5" s="202">
        <f t="shared" si="0"/>
        <v>32988.7</v>
      </c>
      <c r="S5" s="203">
        <f t="shared" si="0"/>
        <v>34754.7</v>
      </c>
      <c r="T5" s="203">
        <f t="shared" si="0"/>
        <v>36919.2</v>
      </c>
      <c r="U5" s="204">
        <f t="shared" si="0"/>
        <v>39466.1</v>
      </c>
      <c r="V5" s="202">
        <f t="shared" si="0"/>
        <v>45105.9</v>
      </c>
      <c r="W5" s="203">
        <f t="shared" si="0"/>
        <v>45907.59999999999</v>
      </c>
      <c r="X5" s="203">
        <f t="shared" si="0"/>
        <v>46744.9</v>
      </c>
      <c r="Y5" s="204">
        <f t="shared" si="0"/>
        <v>46509.99999999999</v>
      </c>
      <c r="Z5" s="202">
        <f t="shared" si="0"/>
        <v>46670.4</v>
      </c>
      <c r="AA5" s="203">
        <f t="shared" si="0"/>
        <v>48136.700000000004</v>
      </c>
      <c r="AB5" s="203">
        <f t="shared" si="0"/>
        <v>49764.49999999999</v>
      </c>
      <c r="AC5" s="204">
        <f aca="true" t="shared" si="1" ref="AC5:AH5">SUM(AC6:AC9)</f>
        <v>49982.299999999996</v>
      </c>
      <c r="AD5" s="202">
        <f t="shared" si="1"/>
        <v>52346.20000000001</v>
      </c>
      <c r="AE5" s="203">
        <f t="shared" si="1"/>
        <v>55099.1</v>
      </c>
      <c r="AF5" s="203">
        <f t="shared" si="1"/>
        <v>57750.80000000001</v>
      </c>
      <c r="AG5" s="204">
        <f t="shared" si="1"/>
        <v>58750.49999999999</v>
      </c>
      <c r="AH5" s="203">
        <f t="shared" si="1"/>
        <v>61323.1</v>
      </c>
      <c r="AI5" s="203">
        <f aca="true" t="shared" si="2" ref="AI5:AQ5">SUM(AI6:AI9)</f>
        <v>65943.7</v>
      </c>
      <c r="AJ5" s="203">
        <f t="shared" si="2"/>
        <v>69046.49999999999</v>
      </c>
      <c r="AK5" s="204">
        <f t="shared" si="2"/>
        <v>70046.9</v>
      </c>
      <c r="AL5" s="203">
        <f t="shared" si="2"/>
        <v>72906.99999999999</v>
      </c>
      <c r="AM5" s="203">
        <f t="shared" si="2"/>
        <v>75810.8</v>
      </c>
      <c r="AN5" s="203">
        <f>SUM(AN6:AN9)</f>
        <v>77888.3</v>
      </c>
      <c r="AO5" s="204">
        <f t="shared" si="2"/>
        <v>79447.9</v>
      </c>
      <c r="AP5" s="203">
        <f t="shared" si="2"/>
        <v>82129.99999999999</v>
      </c>
      <c r="AQ5" s="203">
        <f t="shared" si="2"/>
        <v>84778.50000000001</v>
      </c>
    </row>
    <row r="6" spans="1:43" s="7" customFormat="1" ht="12.75">
      <c r="A6" s="87" t="s">
        <v>283</v>
      </c>
      <c r="B6" s="39">
        <f>SUM(B30,B46,B54,B77)</f>
        <v>14102.2</v>
      </c>
      <c r="C6" s="40">
        <f aca="true" t="shared" si="3" ref="C6:AC6">SUM(C30,C46,C54,C77)</f>
        <v>14839.2</v>
      </c>
      <c r="D6" s="40">
        <f t="shared" si="3"/>
        <v>15680.999999999998</v>
      </c>
      <c r="E6" s="40">
        <f t="shared" si="3"/>
        <v>16642.399999999998</v>
      </c>
      <c r="F6" s="39">
        <f t="shared" si="3"/>
        <v>18307.5</v>
      </c>
      <c r="G6" s="40">
        <f t="shared" si="3"/>
        <v>19662.9</v>
      </c>
      <c r="H6" s="40">
        <f t="shared" si="3"/>
        <v>21911.9</v>
      </c>
      <c r="I6" s="41">
        <f t="shared" si="3"/>
        <v>23490.5</v>
      </c>
      <c r="J6" s="39">
        <f t="shared" si="3"/>
        <v>24706.100000000002</v>
      </c>
      <c r="K6" s="40">
        <f t="shared" si="3"/>
        <v>24904.100000000002</v>
      </c>
      <c r="L6" s="40">
        <f t="shared" si="3"/>
        <v>25418.5</v>
      </c>
      <c r="M6" s="41">
        <f t="shared" si="3"/>
        <v>26540.399999999998</v>
      </c>
      <c r="N6" s="39">
        <f t="shared" si="3"/>
        <v>26775.4</v>
      </c>
      <c r="O6" s="40">
        <f t="shared" si="3"/>
        <v>28108.9</v>
      </c>
      <c r="P6" s="40">
        <f t="shared" si="3"/>
        <v>29478.9</v>
      </c>
      <c r="Q6" s="41">
        <f t="shared" si="3"/>
        <v>30875.600000000002</v>
      </c>
      <c r="R6" s="39">
        <f t="shared" si="3"/>
        <v>31757.3</v>
      </c>
      <c r="S6" s="40">
        <f t="shared" si="3"/>
        <v>33488.2</v>
      </c>
      <c r="T6" s="40">
        <f t="shared" si="3"/>
        <v>35278.7</v>
      </c>
      <c r="U6" s="41">
        <f t="shared" si="3"/>
        <v>37103.7</v>
      </c>
      <c r="V6" s="39">
        <f t="shared" si="3"/>
        <v>37990</v>
      </c>
      <c r="W6" s="40">
        <f t="shared" si="3"/>
        <v>38680.399999999994</v>
      </c>
      <c r="X6" s="40">
        <f t="shared" si="3"/>
        <v>39366.6</v>
      </c>
      <c r="Y6" s="41">
        <f t="shared" si="3"/>
        <v>38898.59999999999</v>
      </c>
      <c r="Z6" s="39">
        <f t="shared" si="3"/>
        <v>39620.5</v>
      </c>
      <c r="AA6" s="40">
        <f t="shared" si="3"/>
        <v>40531.50000000001</v>
      </c>
      <c r="AB6" s="40">
        <f t="shared" si="3"/>
        <v>41697.399999999994</v>
      </c>
      <c r="AC6" s="41">
        <f t="shared" si="3"/>
        <v>41690.4</v>
      </c>
      <c r="AD6" s="39">
        <f aca="true" t="shared" si="4" ref="AD6:AI6">SUM(AD30,AD46,AD54,AD77)</f>
        <v>43906.100000000006</v>
      </c>
      <c r="AE6" s="40">
        <f t="shared" si="4"/>
        <v>45983.3</v>
      </c>
      <c r="AF6" s="40">
        <f t="shared" si="4"/>
        <v>47661.600000000006</v>
      </c>
      <c r="AG6" s="41">
        <f t="shared" si="4"/>
        <v>48750.7</v>
      </c>
      <c r="AH6" s="40">
        <f t="shared" si="4"/>
        <v>51561.799999999996</v>
      </c>
      <c r="AI6" s="40">
        <f t="shared" si="4"/>
        <v>55607</v>
      </c>
      <c r="AJ6" s="40">
        <f>SUM(AJ30,AJ46,AJ54,AJ77)</f>
        <v>58058.7</v>
      </c>
      <c r="AK6" s="41">
        <f>SUM(AK30,AK46,AK54,AK77)</f>
        <v>58563.8</v>
      </c>
      <c r="AL6" s="40">
        <f>SUM(AL30,AL46,AL54,AL77)</f>
        <v>61492.399999999994</v>
      </c>
      <c r="AM6" s="40">
        <f>SUM(AM30,AM46,AM54,AM77)</f>
        <v>63743.5</v>
      </c>
      <c r="AN6" s="40">
        <v>65486.5</v>
      </c>
      <c r="AO6" s="41">
        <v>66783.9</v>
      </c>
      <c r="AP6" s="40">
        <v>69318.4</v>
      </c>
      <c r="AQ6" s="40">
        <f>SUM(AQ30,AQ46,AQ54,AQ77)</f>
        <v>71703.70000000001</v>
      </c>
    </row>
    <row r="7" spans="1:43" s="7" customFormat="1" ht="12.75">
      <c r="A7" s="38" t="s">
        <v>284</v>
      </c>
      <c r="B7" s="39">
        <f>SUM(B33,B49,B57,B80)</f>
        <v>0</v>
      </c>
      <c r="C7" s="40">
        <f aca="true" t="shared" si="5" ref="C7:AC7">SUM(C33,C49,C57,C80)</f>
        <v>0</v>
      </c>
      <c r="D7" s="40">
        <f t="shared" si="5"/>
        <v>0</v>
      </c>
      <c r="E7" s="40">
        <f t="shared" si="5"/>
        <v>0</v>
      </c>
      <c r="F7" s="39">
        <f t="shared" si="5"/>
        <v>0</v>
      </c>
      <c r="G7" s="40">
        <f t="shared" si="5"/>
        <v>0</v>
      </c>
      <c r="H7" s="40">
        <f t="shared" si="5"/>
        <v>0</v>
      </c>
      <c r="I7" s="41">
        <f t="shared" si="5"/>
        <v>0</v>
      </c>
      <c r="J7" s="39">
        <f t="shared" si="5"/>
        <v>0</v>
      </c>
      <c r="K7" s="40">
        <f t="shared" si="5"/>
        <v>0</v>
      </c>
      <c r="L7" s="40">
        <f t="shared" si="5"/>
        <v>0</v>
      </c>
      <c r="M7" s="41">
        <f t="shared" si="5"/>
        <v>0</v>
      </c>
      <c r="N7" s="39">
        <f t="shared" si="5"/>
        <v>0</v>
      </c>
      <c r="O7" s="40">
        <f t="shared" si="5"/>
        <v>0</v>
      </c>
      <c r="P7" s="40">
        <f t="shared" si="5"/>
        <v>0</v>
      </c>
      <c r="Q7" s="41">
        <f t="shared" si="5"/>
        <v>0</v>
      </c>
      <c r="R7" s="39">
        <f t="shared" si="5"/>
        <v>0</v>
      </c>
      <c r="S7" s="40">
        <f t="shared" si="5"/>
        <v>0</v>
      </c>
      <c r="T7" s="40">
        <f t="shared" si="5"/>
        <v>0</v>
      </c>
      <c r="U7" s="41">
        <f t="shared" si="5"/>
        <v>0</v>
      </c>
      <c r="V7" s="39">
        <f t="shared" si="5"/>
        <v>3108.2999999999997</v>
      </c>
      <c r="W7" s="40">
        <f t="shared" si="5"/>
        <v>3146.2</v>
      </c>
      <c r="X7" s="40">
        <f t="shared" si="5"/>
        <v>3135.3999999999996</v>
      </c>
      <c r="Y7" s="41">
        <f t="shared" si="5"/>
        <v>3233.9</v>
      </c>
      <c r="Z7" s="39">
        <f t="shared" si="5"/>
        <v>3251.8</v>
      </c>
      <c r="AA7" s="40">
        <f>SUM(AA33,AA49,AA57,AA80)</f>
        <v>3382.4</v>
      </c>
      <c r="AB7" s="40">
        <f t="shared" si="5"/>
        <v>3526.6</v>
      </c>
      <c r="AC7" s="41">
        <f t="shared" si="5"/>
        <v>3650.5</v>
      </c>
      <c r="AD7" s="39">
        <f aca="true" t="shared" si="6" ref="AD7:AK8">SUM(AD33,AD49,AD57,AD80)</f>
        <v>3836.9</v>
      </c>
      <c r="AE7" s="40">
        <f t="shared" si="6"/>
        <v>4226.7</v>
      </c>
      <c r="AF7" s="40">
        <f t="shared" si="6"/>
        <v>4307.8</v>
      </c>
      <c r="AG7" s="41">
        <f t="shared" si="6"/>
        <v>4397.700000000001</v>
      </c>
      <c r="AH7" s="40">
        <f t="shared" si="6"/>
        <v>4353.200000000001</v>
      </c>
      <c r="AI7" s="40">
        <f t="shared" si="6"/>
        <v>4655.200000000001</v>
      </c>
      <c r="AJ7" s="40">
        <f t="shared" si="6"/>
        <v>4828</v>
      </c>
      <c r="AK7" s="41">
        <f t="shared" si="6"/>
        <v>4922.099999999999</v>
      </c>
      <c r="AL7" s="40">
        <f>SUM(AL33,AL49,AL57,AL80)</f>
        <v>5066.4</v>
      </c>
      <c r="AM7" s="40">
        <f>SUM(AM33,AM49,AM57,AM80)</f>
        <v>5492.9</v>
      </c>
      <c r="AN7" s="40">
        <v>5555.7</v>
      </c>
      <c r="AO7" s="41">
        <v>5760.5</v>
      </c>
      <c r="AP7" s="40">
        <v>5814.2</v>
      </c>
      <c r="AQ7" s="40">
        <f>SUM(AQ33,AQ49,AQ57,AQ80)</f>
        <v>6126.4</v>
      </c>
    </row>
    <row r="8" spans="1:43" s="7" customFormat="1" ht="12.75">
      <c r="A8" s="38" t="s">
        <v>285</v>
      </c>
      <c r="B8" s="39">
        <f>SUM(B34,B50,B58,B81)</f>
        <v>151.3</v>
      </c>
      <c r="C8" s="40">
        <f aca="true" t="shared" si="7" ref="C8:AC8">SUM(C34,C50,C58,C81)</f>
        <v>150.70000000000002</v>
      </c>
      <c r="D8" s="40">
        <f t="shared" si="7"/>
        <v>127.9</v>
      </c>
      <c r="E8" s="40">
        <f t="shared" si="7"/>
        <v>131</v>
      </c>
      <c r="F8" s="39">
        <f t="shared" si="7"/>
        <v>133.1</v>
      </c>
      <c r="G8" s="40">
        <f t="shared" si="7"/>
        <v>137.9</v>
      </c>
      <c r="H8" s="40">
        <f t="shared" si="7"/>
        <v>180.3</v>
      </c>
      <c r="I8" s="41">
        <f t="shared" si="7"/>
        <v>167</v>
      </c>
      <c r="J8" s="39">
        <f t="shared" si="7"/>
        <v>273.59999999999997</v>
      </c>
      <c r="K8" s="40">
        <f t="shared" si="7"/>
        <v>255.5</v>
      </c>
      <c r="L8" s="40">
        <f t="shared" si="7"/>
        <v>178.5</v>
      </c>
      <c r="M8" s="41">
        <f t="shared" si="7"/>
        <v>175.6</v>
      </c>
      <c r="N8" s="39">
        <f t="shared" si="7"/>
        <v>144.60000000000002</v>
      </c>
      <c r="O8" s="40">
        <f t="shared" si="7"/>
        <v>173.6</v>
      </c>
      <c r="P8" s="40">
        <f t="shared" si="7"/>
        <v>167.3</v>
      </c>
      <c r="Q8" s="41">
        <f t="shared" si="7"/>
        <v>124.8</v>
      </c>
      <c r="R8" s="39">
        <f t="shared" si="7"/>
        <v>110.5</v>
      </c>
      <c r="S8" s="40">
        <f t="shared" si="7"/>
        <v>198.6</v>
      </c>
      <c r="T8" s="40">
        <f t="shared" si="7"/>
        <v>283.1</v>
      </c>
      <c r="U8" s="41">
        <f t="shared" si="7"/>
        <v>275.40000000000003</v>
      </c>
      <c r="V8" s="39">
        <f t="shared" si="7"/>
        <v>1860.1000000000001</v>
      </c>
      <c r="W8" s="40">
        <f t="shared" si="7"/>
        <v>2100.3</v>
      </c>
      <c r="X8" s="40">
        <f t="shared" si="7"/>
        <v>2028.9</v>
      </c>
      <c r="Y8" s="41">
        <f t="shared" si="7"/>
        <v>2212.1</v>
      </c>
      <c r="Z8" s="39">
        <f t="shared" si="7"/>
        <v>1966.5</v>
      </c>
      <c r="AA8" s="40">
        <f t="shared" si="7"/>
        <v>2231.6000000000004</v>
      </c>
      <c r="AB8" s="40">
        <f t="shared" si="7"/>
        <v>2452.1999999999994</v>
      </c>
      <c r="AC8" s="41">
        <f t="shared" si="7"/>
        <v>2465.7</v>
      </c>
      <c r="AD8" s="39">
        <f t="shared" si="6"/>
        <v>2375.2999999999997</v>
      </c>
      <c r="AE8" s="40">
        <f t="shared" si="6"/>
        <v>2638.0000000000005</v>
      </c>
      <c r="AF8" s="40">
        <f t="shared" si="6"/>
        <v>2881.1</v>
      </c>
      <c r="AG8" s="41">
        <f t="shared" si="6"/>
        <v>2830.4</v>
      </c>
      <c r="AH8" s="40">
        <f t="shared" si="6"/>
        <v>2582.6000000000004</v>
      </c>
      <c r="AI8" s="40">
        <f t="shared" si="6"/>
        <v>2836.4000000000005</v>
      </c>
      <c r="AJ8" s="40">
        <f t="shared" si="6"/>
        <v>3151.4</v>
      </c>
      <c r="AK8" s="41">
        <f t="shared" si="6"/>
        <v>3402</v>
      </c>
      <c r="AL8" s="40">
        <f>SUM(AL34,AL50,AL58,AL81)</f>
        <v>3413.9</v>
      </c>
      <c r="AM8" s="40">
        <f>SUM(AM34,AM50,AM58,AM81)</f>
        <v>4047.3</v>
      </c>
      <c r="AN8" s="40">
        <v>4286</v>
      </c>
      <c r="AO8" s="41">
        <v>4373.6</v>
      </c>
      <c r="AP8" s="40">
        <v>4536.9</v>
      </c>
      <c r="AQ8" s="40">
        <f>SUM(AQ34,AQ50,AQ58,AQ81)</f>
        <v>4643.099999999999</v>
      </c>
    </row>
    <row r="9" spans="1:43" s="4" customFormat="1" ht="12.75">
      <c r="A9" s="87" t="s">
        <v>341</v>
      </c>
      <c r="B9" s="39">
        <f>SUM(B51,B82)</f>
        <v>108.5</v>
      </c>
      <c r="C9" s="40">
        <f aca="true" t="shared" si="8" ref="C9:AC9">SUM(C51,C82)</f>
        <v>101.4</v>
      </c>
      <c r="D9" s="40">
        <f t="shared" si="8"/>
        <v>96.6</v>
      </c>
      <c r="E9" s="40">
        <f t="shared" si="8"/>
        <v>13.5</v>
      </c>
      <c r="F9" s="39">
        <f t="shared" si="8"/>
        <v>13.5</v>
      </c>
      <c r="G9" s="40">
        <f t="shared" si="8"/>
        <v>13.5</v>
      </c>
      <c r="H9" s="40">
        <f t="shared" si="8"/>
        <v>13.5</v>
      </c>
      <c r="I9" s="41">
        <f t="shared" si="8"/>
        <v>640.4999999999999</v>
      </c>
      <c r="J9" s="39">
        <f t="shared" si="8"/>
        <v>634.8</v>
      </c>
      <c r="K9" s="40">
        <f t="shared" si="8"/>
        <v>617.0999999999999</v>
      </c>
      <c r="L9" s="40">
        <f t="shared" si="8"/>
        <v>537</v>
      </c>
      <c r="M9" s="41">
        <f t="shared" si="8"/>
        <v>645.4000000000001</v>
      </c>
      <c r="N9" s="39">
        <f t="shared" si="8"/>
        <v>656.3999999999999</v>
      </c>
      <c r="O9" s="40">
        <f t="shared" si="8"/>
        <v>711.9000000000003</v>
      </c>
      <c r="P9" s="40">
        <f t="shared" si="8"/>
        <v>1021.5999999999999</v>
      </c>
      <c r="Q9" s="41">
        <f t="shared" si="8"/>
        <v>1177.9</v>
      </c>
      <c r="R9" s="39">
        <f t="shared" si="8"/>
        <v>1120.8999999999999</v>
      </c>
      <c r="S9" s="40">
        <f t="shared" si="8"/>
        <v>1067.9</v>
      </c>
      <c r="T9" s="40">
        <f t="shared" si="8"/>
        <v>1357.4000000000003</v>
      </c>
      <c r="U9" s="41">
        <f t="shared" si="8"/>
        <v>2087</v>
      </c>
      <c r="V9" s="39">
        <f t="shared" si="8"/>
        <v>2147.5</v>
      </c>
      <c r="W9" s="40">
        <f t="shared" si="8"/>
        <v>1980.7000000000003</v>
      </c>
      <c r="X9" s="40">
        <f t="shared" si="8"/>
        <v>2214</v>
      </c>
      <c r="Y9" s="41">
        <f t="shared" si="8"/>
        <v>2165.4000000000005</v>
      </c>
      <c r="Z9" s="39">
        <f t="shared" si="8"/>
        <v>1831.6000000000001</v>
      </c>
      <c r="AA9" s="40">
        <f t="shared" si="8"/>
        <v>1991.1999999999998</v>
      </c>
      <c r="AB9" s="40">
        <f t="shared" si="8"/>
        <v>2088.3</v>
      </c>
      <c r="AC9" s="41">
        <f t="shared" si="8"/>
        <v>2175.7</v>
      </c>
      <c r="AD9" s="39">
        <f aca="true" t="shared" si="9" ref="AD9:AI9">SUM(AD51,AD82)</f>
        <v>2227.9</v>
      </c>
      <c r="AE9" s="40">
        <f t="shared" si="9"/>
        <v>2251.1</v>
      </c>
      <c r="AF9" s="40">
        <f t="shared" si="9"/>
        <v>2900.3</v>
      </c>
      <c r="AG9" s="41">
        <f t="shared" si="9"/>
        <v>2771.7</v>
      </c>
      <c r="AH9" s="40">
        <f t="shared" si="9"/>
        <v>2825.5</v>
      </c>
      <c r="AI9" s="40">
        <f t="shared" si="9"/>
        <v>2845.1</v>
      </c>
      <c r="AJ9" s="40">
        <f>SUM(AJ51,AJ82)</f>
        <v>3008.4</v>
      </c>
      <c r="AK9" s="41">
        <f>SUM(AK35,AK51,AK82)</f>
        <v>3159</v>
      </c>
      <c r="AL9" s="40">
        <f>SUM(AL35,AL51,AL82)</f>
        <v>2934.3</v>
      </c>
      <c r="AM9" s="40">
        <f>SUM(AM35,AM51,AM82)</f>
        <v>2527.1</v>
      </c>
      <c r="AN9" s="40">
        <v>2560.1</v>
      </c>
      <c r="AO9" s="41">
        <v>2529.9</v>
      </c>
      <c r="AP9" s="40">
        <v>2460.5</v>
      </c>
      <c r="AQ9" s="40">
        <f>SUM(AQ35,AQ51,AQ82)</f>
        <v>2305.3</v>
      </c>
    </row>
    <row r="10" spans="1:43" s="9" customFormat="1" ht="12.75">
      <c r="A10" s="88" t="s">
        <v>286</v>
      </c>
      <c r="B10" s="46">
        <f>SUM(B11:B12)</f>
        <v>95.1</v>
      </c>
      <c r="C10" s="47">
        <f aca="true" t="shared" si="10" ref="C10:AC10">SUM(C11:C12)</f>
        <v>103.9</v>
      </c>
      <c r="D10" s="47">
        <f t="shared" si="10"/>
        <v>101</v>
      </c>
      <c r="E10" s="47">
        <f t="shared" si="10"/>
        <v>153.6</v>
      </c>
      <c r="F10" s="46">
        <f t="shared" si="10"/>
        <v>159.1</v>
      </c>
      <c r="G10" s="47">
        <f t="shared" si="10"/>
        <v>158.5</v>
      </c>
      <c r="H10" s="47">
        <f t="shared" si="10"/>
        <v>224.10000000000002</v>
      </c>
      <c r="I10" s="48">
        <f t="shared" si="10"/>
        <v>1788.9</v>
      </c>
      <c r="J10" s="46">
        <f t="shared" si="10"/>
        <v>3930.2</v>
      </c>
      <c r="K10" s="47">
        <f t="shared" si="10"/>
        <v>3602.2999999999997</v>
      </c>
      <c r="L10" s="47">
        <f t="shared" si="10"/>
        <v>3511.2000000000003</v>
      </c>
      <c r="M10" s="48">
        <f t="shared" si="10"/>
        <v>3486</v>
      </c>
      <c r="N10" s="46">
        <f t="shared" si="10"/>
        <v>3331.7000000000003</v>
      </c>
      <c r="O10" s="47">
        <f t="shared" si="10"/>
        <v>3635.2999999999997</v>
      </c>
      <c r="P10" s="47">
        <f t="shared" si="10"/>
        <v>3604.2999999999997</v>
      </c>
      <c r="Q10" s="48">
        <f t="shared" si="10"/>
        <v>3416.1</v>
      </c>
      <c r="R10" s="46">
        <f t="shared" si="10"/>
        <v>3429.7999999999997</v>
      </c>
      <c r="S10" s="47">
        <f t="shared" si="10"/>
        <v>3401.6</v>
      </c>
      <c r="T10" s="47">
        <f t="shared" si="10"/>
        <v>3964.8999999999996</v>
      </c>
      <c r="U10" s="48">
        <f t="shared" si="10"/>
        <v>3977.6</v>
      </c>
      <c r="V10" s="46">
        <f t="shared" si="10"/>
        <v>3808.1</v>
      </c>
      <c r="W10" s="47">
        <f t="shared" si="10"/>
        <v>3874.7999999999997</v>
      </c>
      <c r="X10" s="47">
        <f t="shared" si="10"/>
        <v>3890.1</v>
      </c>
      <c r="Y10" s="48">
        <f t="shared" si="10"/>
        <v>3904.5</v>
      </c>
      <c r="Z10" s="46">
        <f t="shared" si="10"/>
        <v>3923.1</v>
      </c>
      <c r="AA10" s="47">
        <f t="shared" si="10"/>
        <v>3910.5</v>
      </c>
      <c r="AB10" s="47">
        <f t="shared" si="10"/>
        <v>3838.7999999999997</v>
      </c>
      <c r="AC10" s="48">
        <f t="shared" si="10"/>
        <v>3815.2000000000003</v>
      </c>
      <c r="AD10" s="46">
        <f aca="true" t="shared" si="11" ref="AD10:AI10">SUM(AD11:AD12)</f>
        <v>3894.7999999999997</v>
      </c>
      <c r="AE10" s="47">
        <f t="shared" si="11"/>
        <v>3837.3</v>
      </c>
      <c r="AF10" s="47">
        <f t="shared" si="11"/>
        <v>4134.9</v>
      </c>
      <c r="AG10" s="48">
        <f t="shared" si="11"/>
        <v>4029.8</v>
      </c>
      <c r="AH10" s="47">
        <f t="shared" si="11"/>
        <v>3867.7999999999997</v>
      </c>
      <c r="AI10" s="47">
        <f t="shared" si="11"/>
        <v>3846.1</v>
      </c>
      <c r="AJ10" s="47">
        <f aca="true" t="shared" si="12" ref="AJ10:AQ10">SUM(AJ11:AJ12)</f>
        <v>3884.6</v>
      </c>
      <c r="AK10" s="48">
        <f t="shared" si="12"/>
        <v>4019.6</v>
      </c>
      <c r="AL10" s="47">
        <f t="shared" si="12"/>
        <v>3980.1</v>
      </c>
      <c r="AM10" s="47">
        <f t="shared" si="12"/>
        <v>3978.6</v>
      </c>
      <c r="AN10" s="47">
        <f t="shared" si="12"/>
        <v>3944</v>
      </c>
      <c r="AO10" s="48">
        <f t="shared" si="12"/>
        <v>3999.2999999999997</v>
      </c>
      <c r="AP10" s="47">
        <f t="shared" si="12"/>
        <v>3765.8</v>
      </c>
      <c r="AQ10" s="47">
        <f t="shared" si="12"/>
        <v>3659.6000000000004</v>
      </c>
    </row>
    <row r="11" spans="1:43" s="4" customFormat="1" ht="12.75">
      <c r="A11" s="87" t="s">
        <v>287</v>
      </c>
      <c r="B11" s="39">
        <f>SUM(B83)</f>
        <v>0</v>
      </c>
      <c r="C11" s="40">
        <f aca="true" t="shared" si="13" ref="C11:AC11">SUM(C83)</f>
        <v>0</v>
      </c>
      <c r="D11" s="40">
        <f t="shared" si="13"/>
        <v>0</v>
      </c>
      <c r="E11" s="40">
        <f t="shared" si="13"/>
        <v>0</v>
      </c>
      <c r="F11" s="39">
        <f t="shared" si="13"/>
        <v>0</v>
      </c>
      <c r="G11" s="40">
        <f t="shared" si="13"/>
        <v>0</v>
      </c>
      <c r="H11" s="40">
        <f t="shared" si="13"/>
        <v>0</v>
      </c>
      <c r="I11" s="41">
        <f t="shared" si="13"/>
        <v>1654</v>
      </c>
      <c r="J11" s="39">
        <f t="shared" si="13"/>
        <v>3775.2</v>
      </c>
      <c r="K11" s="40">
        <f t="shared" si="13"/>
        <v>3439.1</v>
      </c>
      <c r="L11" s="40">
        <f t="shared" si="13"/>
        <v>3348.9</v>
      </c>
      <c r="M11" s="41">
        <f t="shared" si="13"/>
        <v>3261.9</v>
      </c>
      <c r="N11" s="39">
        <f t="shared" si="13"/>
        <v>3147.9</v>
      </c>
      <c r="O11" s="40">
        <f t="shared" si="13"/>
        <v>3447.7</v>
      </c>
      <c r="P11" s="40">
        <f t="shared" si="13"/>
        <v>3425.1</v>
      </c>
      <c r="Q11" s="41">
        <f t="shared" si="13"/>
        <v>3268.5</v>
      </c>
      <c r="R11" s="39">
        <f t="shared" si="13"/>
        <v>3215.6</v>
      </c>
      <c r="S11" s="40">
        <f t="shared" si="13"/>
        <v>3189</v>
      </c>
      <c r="T11" s="40">
        <f t="shared" si="13"/>
        <v>3786.2</v>
      </c>
      <c r="U11" s="41">
        <f t="shared" si="13"/>
        <v>3872.6</v>
      </c>
      <c r="V11" s="39">
        <f t="shared" si="13"/>
        <v>3680.7</v>
      </c>
      <c r="W11" s="40">
        <f t="shared" si="13"/>
        <v>3758.2</v>
      </c>
      <c r="X11" s="40">
        <f t="shared" si="13"/>
        <v>3732.5</v>
      </c>
      <c r="Y11" s="41">
        <f t="shared" si="13"/>
        <v>3779.7</v>
      </c>
      <c r="Z11" s="39">
        <f t="shared" si="13"/>
        <v>3817.7</v>
      </c>
      <c r="AA11" s="40">
        <f t="shared" si="13"/>
        <v>3794.3</v>
      </c>
      <c r="AB11" s="40">
        <f t="shared" si="13"/>
        <v>3723.1</v>
      </c>
      <c r="AC11" s="41">
        <f t="shared" si="13"/>
        <v>3685.8</v>
      </c>
      <c r="AD11" s="39">
        <f aca="true" t="shared" si="14" ref="AD11:AI11">SUM(AD83)</f>
        <v>3750.2</v>
      </c>
      <c r="AE11" s="40">
        <f t="shared" si="14"/>
        <v>3723.5</v>
      </c>
      <c r="AF11" s="40">
        <f t="shared" si="14"/>
        <v>3800.5</v>
      </c>
      <c r="AG11" s="41">
        <f t="shared" si="14"/>
        <v>3923.9</v>
      </c>
      <c r="AH11" s="40">
        <f t="shared" si="14"/>
        <v>3750.6</v>
      </c>
      <c r="AI11" s="40">
        <f t="shared" si="14"/>
        <v>3711.2</v>
      </c>
      <c r="AJ11" s="40">
        <f>SUM(AJ83)</f>
        <v>3793.6</v>
      </c>
      <c r="AK11" s="41">
        <f>SUM(AK83)</f>
        <v>3838.6</v>
      </c>
      <c r="AL11" s="40">
        <f>SUM(AL83)</f>
        <v>3853.4</v>
      </c>
      <c r="AM11" s="40">
        <f>SUM(AM83)</f>
        <v>3909.7</v>
      </c>
      <c r="AN11" s="40">
        <v>3822.7</v>
      </c>
      <c r="AO11" s="41">
        <v>3910.7</v>
      </c>
      <c r="AP11" s="40">
        <v>3686.5</v>
      </c>
      <c r="AQ11" s="40">
        <f>SUM(AQ83)</f>
        <v>3589.8</v>
      </c>
    </row>
    <row r="12" spans="1:43" s="9" customFormat="1" ht="12.75">
      <c r="A12" s="89" t="s">
        <v>288</v>
      </c>
      <c r="B12" s="39">
        <f>SUM(B36,B52,B59,B84)</f>
        <v>95.1</v>
      </c>
      <c r="C12" s="40">
        <f aca="true" t="shared" si="15" ref="C12:AC12">SUM(C36,C52,C59,C84)</f>
        <v>103.9</v>
      </c>
      <c r="D12" s="40">
        <f t="shared" si="15"/>
        <v>101</v>
      </c>
      <c r="E12" s="40">
        <f t="shared" si="15"/>
        <v>153.6</v>
      </c>
      <c r="F12" s="39">
        <f t="shared" si="15"/>
        <v>159.1</v>
      </c>
      <c r="G12" s="40">
        <f t="shared" si="15"/>
        <v>158.5</v>
      </c>
      <c r="H12" s="40">
        <f t="shared" si="15"/>
        <v>224.10000000000002</v>
      </c>
      <c r="I12" s="41">
        <f t="shared" si="15"/>
        <v>134.9</v>
      </c>
      <c r="J12" s="39">
        <f t="shared" si="15"/>
        <v>155</v>
      </c>
      <c r="K12" s="40">
        <f t="shared" si="15"/>
        <v>163.2</v>
      </c>
      <c r="L12" s="40">
        <f t="shared" si="15"/>
        <v>162.3</v>
      </c>
      <c r="M12" s="41">
        <f t="shared" si="15"/>
        <v>224.10000000000002</v>
      </c>
      <c r="N12" s="39">
        <f t="shared" si="15"/>
        <v>183.8</v>
      </c>
      <c r="O12" s="40">
        <f t="shared" si="15"/>
        <v>187.6</v>
      </c>
      <c r="P12" s="40">
        <f t="shared" si="15"/>
        <v>179.2</v>
      </c>
      <c r="Q12" s="41">
        <f t="shared" si="15"/>
        <v>147.6</v>
      </c>
      <c r="R12" s="39">
        <f t="shared" si="15"/>
        <v>214.2</v>
      </c>
      <c r="S12" s="40">
        <f t="shared" si="15"/>
        <v>212.60000000000002</v>
      </c>
      <c r="T12" s="40">
        <f t="shared" si="15"/>
        <v>178.7</v>
      </c>
      <c r="U12" s="41">
        <f t="shared" si="15"/>
        <v>105</v>
      </c>
      <c r="V12" s="39">
        <f t="shared" si="15"/>
        <v>127.4</v>
      </c>
      <c r="W12" s="40">
        <f t="shared" si="15"/>
        <v>116.60000000000001</v>
      </c>
      <c r="X12" s="40">
        <f t="shared" si="15"/>
        <v>157.6</v>
      </c>
      <c r="Y12" s="41">
        <f t="shared" si="15"/>
        <v>124.80000000000001</v>
      </c>
      <c r="Z12" s="39">
        <f t="shared" si="15"/>
        <v>105.39999999999999</v>
      </c>
      <c r="AA12" s="40">
        <f t="shared" si="15"/>
        <v>116.2</v>
      </c>
      <c r="AB12" s="40">
        <f t="shared" si="15"/>
        <v>115.7</v>
      </c>
      <c r="AC12" s="41">
        <f t="shared" si="15"/>
        <v>129.4</v>
      </c>
      <c r="AD12" s="39">
        <f aca="true" t="shared" si="16" ref="AD12:AI12">SUM(AD36,AD52,AD59,AD84)</f>
        <v>144.60000000000002</v>
      </c>
      <c r="AE12" s="40">
        <f t="shared" si="16"/>
        <v>113.80000000000001</v>
      </c>
      <c r="AF12" s="40">
        <f t="shared" si="16"/>
        <v>334.4</v>
      </c>
      <c r="AG12" s="41">
        <f t="shared" si="16"/>
        <v>105.9</v>
      </c>
      <c r="AH12" s="40">
        <f t="shared" si="16"/>
        <v>117.2</v>
      </c>
      <c r="AI12" s="40">
        <f t="shared" si="16"/>
        <v>134.9</v>
      </c>
      <c r="AJ12" s="40">
        <f>SUM(AJ36,AJ52,AJ59,AJ84)</f>
        <v>91</v>
      </c>
      <c r="AK12" s="41">
        <f>SUM(AK36,AK52,AK59,AK84)</f>
        <v>181</v>
      </c>
      <c r="AL12" s="40">
        <f>SUM(AL36,AL52,AL59,AL84)</f>
        <v>126.69999999999999</v>
      </c>
      <c r="AM12" s="40">
        <f>SUM(AM36,AM52,AM59,AM84)</f>
        <v>68.9</v>
      </c>
      <c r="AN12" s="40">
        <v>121.3</v>
      </c>
      <c r="AO12" s="41">
        <v>88.6</v>
      </c>
      <c r="AP12" s="40">
        <v>79.3</v>
      </c>
      <c r="AQ12" s="40">
        <f>SUM(AQ36,AQ52,AQ59,AQ84)</f>
        <v>69.8</v>
      </c>
    </row>
    <row r="13" spans="1:43" s="205" customFormat="1" ht="12">
      <c r="A13" s="8" t="s">
        <v>126</v>
      </c>
      <c r="B13" s="202">
        <f>SUM(B5,B10)</f>
        <v>14457.1</v>
      </c>
      <c r="C13" s="203">
        <f aca="true" t="shared" si="17" ref="C13:AC13">SUM(C5,C10)</f>
        <v>15195.2</v>
      </c>
      <c r="D13" s="203">
        <f t="shared" si="17"/>
        <v>16006.499999999998</v>
      </c>
      <c r="E13" s="203">
        <f t="shared" si="17"/>
        <v>16940.499999999996</v>
      </c>
      <c r="F13" s="202">
        <f t="shared" si="17"/>
        <v>18613.199999999997</v>
      </c>
      <c r="G13" s="203">
        <f t="shared" si="17"/>
        <v>19972.800000000003</v>
      </c>
      <c r="H13" s="203">
        <f t="shared" si="17"/>
        <v>22329.8</v>
      </c>
      <c r="I13" s="204">
        <f t="shared" si="17"/>
        <v>26086.9</v>
      </c>
      <c r="J13" s="202">
        <f t="shared" si="17"/>
        <v>29544.7</v>
      </c>
      <c r="K13" s="203">
        <f t="shared" si="17"/>
        <v>29379</v>
      </c>
      <c r="L13" s="203">
        <f t="shared" si="17"/>
        <v>29645.2</v>
      </c>
      <c r="M13" s="204">
        <f t="shared" si="17"/>
        <v>30847.399999999998</v>
      </c>
      <c r="N13" s="202">
        <f t="shared" si="17"/>
        <v>30908.100000000002</v>
      </c>
      <c r="O13" s="203">
        <f t="shared" si="17"/>
        <v>32629.7</v>
      </c>
      <c r="P13" s="203">
        <f t="shared" si="17"/>
        <v>34272.1</v>
      </c>
      <c r="Q13" s="204">
        <f t="shared" si="17"/>
        <v>35594.4</v>
      </c>
      <c r="R13" s="202">
        <f t="shared" si="17"/>
        <v>36418.5</v>
      </c>
      <c r="S13" s="203">
        <f t="shared" si="17"/>
        <v>38156.299999999996</v>
      </c>
      <c r="T13" s="203">
        <f t="shared" si="17"/>
        <v>40884.1</v>
      </c>
      <c r="U13" s="204">
        <f t="shared" si="17"/>
        <v>43443.7</v>
      </c>
      <c r="V13" s="202">
        <f t="shared" si="17"/>
        <v>48914</v>
      </c>
      <c r="W13" s="203">
        <f t="shared" si="17"/>
        <v>49782.399999999994</v>
      </c>
      <c r="X13" s="203">
        <f>SUM(X5,X10)</f>
        <v>50635</v>
      </c>
      <c r="Y13" s="204">
        <f t="shared" si="17"/>
        <v>50414.49999999999</v>
      </c>
      <c r="Z13" s="202">
        <f t="shared" si="17"/>
        <v>50593.5</v>
      </c>
      <c r="AA13" s="203">
        <f t="shared" si="17"/>
        <v>52047.200000000004</v>
      </c>
      <c r="AB13" s="203">
        <f t="shared" si="17"/>
        <v>53603.299999999996</v>
      </c>
      <c r="AC13" s="204">
        <f t="shared" si="17"/>
        <v>53797.49999999999</v>
      </c>
      <c r="AD13" s="202">
        <f aca="true" t="shared" si="18" ref="AD13:AI13">SUM(AD5,AD10)</f>
        <v>56241.000000000015</v>
      </c>
      <c r="AE13" s="203">
        <f t="shared" si="18"/>
        <v>58936.4</v>
      </c>
      <c r="AF13" s="203">
        <f t="shared" si="18"/>
        <v>61885.70000000001</v>
      </c>
      <c r="AG13" s="204">
        <f t="shared" si="18"/>
        <v>62780.299999999996</v>
      </c>
      <c r="AH13" s="203">
        <f t="shared" si="18"/>
        <v>65190.9</v>
      </c>
      <c r="AI13" s="203">
        <f t="shared" si="18"/>
        <v>69789.8</v>
      </c>
      <c r="AJ13" s="203">
        <f aca="true" t="shared" si="19" ref="AJ13:AQ13">SUM(AJ5,AJ10)</f>
        <v>72931.09999999999</v>
      </c>
      <c r="AK13" s="204">
        <f t="shared" si="19"/>
        <v>74066.5</v>
      </c>
      <c r="AL13" s="203">
        <f t="shared" si="19"/>
        <v>76887.09999999999</v>
      </c>
      <c r="AM13" s="203">
        <f t="shared" si="19"/>
        <v>79789.40000000001</v>
      </c>
      <c r="AN13" s="203">
        <f t="shared" si="19"/>
        <v>81832.3</v>
      </c>
      <c r="AO13" s="204">
        <f t="shared" si="19"/>
        <v>83447.2</v>
      </c>
      <c r="AP13" s="203">
        <f t="shared" si="19"/>
        <v>85895.79999999999</v>
      </c>
      <c r="AQ13" s="203">
        <f t="shared" si="19"/>
        <v>88438.10000000002</v>
      </c>
    </row>
    <row r="14" spans="1:43" s="9" customFormat="1" ht="12.75">
      <c r="A14" s="87" t="s">
        <v>127</v>
      </c>
      <c r="B14" s="39">
        <f>SUM(B15,B20)</f>
        <v>-674.5000000000001</v>
      </c>
      <c r="C14" s="40">
        <f aca="true" t="shared" si="20" ref="C14:AC14">SUM(C15,C20)</f>
        <v>-628.0000000000001</v>
      </c>
      <c r="D14" s="40">
        <f t="shared" si="20"/>
        <v>-557.0999999999999</v>
      </c>
      <c r="E14" s="40">
        <f t="shared" si="20"/>
        <v>-561.4000000000001</v>
      </c>
      <c r="F14" s="39">
        <f t="shared" si="20"/>
        <v>-573.3</v>
      </c>
      <c r="G14" s="40">
        <f t="shared" si="20"/>
        <v>-403.4</v>
      </c>
      <c r="H14" s="40">
        <f t="shared" si="20"/>
        <v>-414.00000000000006</v>
      </c>
      <c r="I14" s="41">
        <f t="shared" si="20"/>
        <v>-502.2</v>
      </c>
      <c r="J14" s="39">
        <f t="shared" si="20"/>
        <v>-673.4000000000001</v>
      </c>
      <c r="K14" s="40">
        <f t="shared" si="20"/>
        <v>-765.0999999999999</v>
      </c>
      <c r="L14" s="40">
        <f t="shared" si="20"/>
        <v>-810</v>
      </c>
      <c r="M14" s="41">
        <f t="shared" si="20"/>
        <v>-881.3</v>
      </c>
      <c r="N14" s="39">
        <f t="shared" si="20"/>
        <v>-934.8000000000001</v>
      </c>
      <c r="O14" s="40">
        <f t="shared" si="20"/>
        <v>-976.6000000000001</v>
      </c>
      <c r="P14" s="40">
        <f t="shared" si="20"/>
        <v>-1042.3</v>
      </c>
      <c r="Q14" s="41">
        <f t="shared" si="20"/>
        <v>-1085.4</v>
      </c>
      <c r="R14" s="39">
        <f t="shared" si="20"/>
        <v>-1125.6</v>
      </c>
      <c r="S14" s="40">
        <f t="shared" si="20"/>
        <v>-1142.2</v>
      </c>
      <c r="T14" s="40">
        <f t="shared" si="20"/>
        <v>-1184.5</v>
      </c>
      <c r="U14" s="41">
        <f t="shared" si="20"/>
        <v>-1114</v>
      </c>
      <c r="V14" s="39">
        <f t="shared" si="20"/>
        <v>-1196.7</v>
      </c>
      <c r="W14" s="40">
        <f t="shared" si="20"/>
        <v>-1291.8</v>
      </c>
      <c r="X14" s="40">
        <f t="shared" si="20"/>
        <v>-1359.9</v>
      </c>
      <c r="Y14" s="41">
        <f t="shared" si="20"/>
        <v>-1429.2000000000003</v>
      </c>
      <c r="Z14" s="39">
        <f t="shared" si="20"/>
        <v>-1474.2000000000003</v>
      </c>
      <c r="AA14" s="40">
        <f t="shared" si="20"/>
        <v>-1574.6999999999998</v>
      </c>
      <c r="AB14" s="40">
        <f t="shared" si="20"/>
        <v>-1498.1000000000001</v>
      </c>
      <c r="AC14" s="41">
        <f t="shared" si="20"/>
        <v>-1559.6</v>
      </c>
      <c r="AD14" s="39">
        <f aca="true" t="shared" si="21" ref="AD14:AI14">SUM(AD15,AD20)</f>
        <v>-1643.8999999999994</v>
      </c>
      <c r="AE14" s="40">
        <f t="shared" si="21"/>
        <v>-1617.3999999999999</v>
      </c>
      <c r="AF14" s="40">
        <f t="shared" si="21"/>
        <v>-1666.7</v>
      </c>
      <c r="AG14" s="41">
        <f t="shared" si="21"/>
        <v>-1725.5</v>
      </c>
      <c r="AH14" s="40">
        <f t="shared" si="21"/>
        <v>-1791.9</v>
      </c>
      <c r="AI14" s="40">
        <f t="shared" si="21"/>
        <v>-1662.6</v>
      </c>
      <c r="AJ14" s="40">
        <f aca="true" t="shared" si="22" ref="AJ14:AP14">SUM(AJ15,AJ20)</f>
        <v>-1505.9000000000003</v>
      </c>
      <c r="AK14" s="41">
        <f t="shared" si="22"/>
        <v>-1546.9</v>
      </c>
      <c r="AL14" s="40">
        <f t="shared" si="22"/>
        <v>-1557.1</v>
      </c>
      <c r="AM14" s="40">
        <f t="shared" si="22"/>
        <v>-1480.7999999999997</v>
      </c>
      <c r="AN14" s="40">
        <f t="shared" si="22"/>
        <v>-1454.9</v>
      </c>
      <c r="AO14" s="41">
        <f t="shared" si="22"/>
        <v>-1467.7</v>
      </c>
      <c r="AP14" s="40">
        <f t="shared" si="22"/>
        <v>-1516.2</v>
      </c>
      <c r="AQ14" s="40">
        <f>SUM(AQ15,AQ20)</f>
        <v>-1535.8</v>
      </c>
    </row>
    <row r="15" spans="1:43" s="9" customFormat="1" ht="12.75">
      <c r="A15" s="87" t="s">
        <v>289</v>
      </c>
      <c r="B15" s="39">
        <f>SUM(B16:B19)</f>
        <v>-665.9000000000001</v>
      </c>
      <c r="C15" s="40">
        <f aca="true" t="shared" si="23" ref="C15:AC15">SUM(C16:C19)</f>
        <v>-619.4000000000001</v>
      </c>
      <c r="D15" s="40">
        <f t="shared" si="23"/>
        <v>-548.4999999999999</v>
      </c>
      <c r="E15" s="40">
        <f t="shared" si="23"/>
        <v>-552.8000000000001</v>
      </c>
      <c r="F15" s="39">
        <f t="shared" si="23"/>
        <v>-564.6999999999999</v>
      </c>
      <c r="G15" s="40">
        <f t="shared" si="23"/>
        <v>-394.79999999999995</v>
      </c>
      <c r="H15" s="40">
        <f t="shared" si="23"/>
        <v>-405.40000000000003</v>
      </c>
      <c r="I15" s="41">
        <f t="shared" si="23"/>
        <v>-493.59999999999997</v>
      </c>
      <c r="J15" s="39">
        <f t="shared" si="23"/>
        <v>-664.8000000000001</v>
      </c>
      <c r="K15" s="40">
        <f t="shared" si="23"/>
        <v>-756.4999999999999</v>
      </c>
      <c r="L15" s="40">
        <f t="shared" si="23"/>
        <v>-801.4</v>
      </c>
      <c r="M15" s="41">
        <f t="shared" si="23"/>
        <v>-872.6999999999999</v>
      </c>
      <c r="N15" s="39">
        <f t="shared" si="23"/>
        <v>-926.2</v>
      </c>
      <c r="O15" s="40">
        <f t="shared" si="23"/>
        <v>-968.0000000000001</v>
      </c>
      <c r="P15" s="40">
        <f t="shared" si="23"/>
        <v>-1037.1</v>
      </c>
      <c r="Q15" s="41">
        <f t="shared" si="23"/>
        <v>-1080.2</v>
      </c>
      <c r="R15" s="39">
        <f t="shared" si="23"/>
        <v>-1120.3999999999999</v>
      </c>
      <c r="S15" s="40">
        <f t="shared" si="23"/>
        <v>-1137</v>
      </c>
      <c r="T15" s="40">
        <f t="shared" si="23"/>
        <v>-1179.3</v>
      </c>
      <c r="U15" s="41">
        <f t="shared" si="23"/>
        <v>-1108.8</v>
      </c>
      <c r="V15" s="39">
        <f t="shared" si="23"/>
        <v>-1191.6000000000001</v>
      </c>
      <c r="W15" s="40">
        <f t="shared" si="23"/>
        <v>-1286.6</v>
      </c>
      <c r="X15" s="40">
        <f t="shared" si="23"/>
        <v>-1354.7</v>
      </c>
      <c r="Y15" s="41">
        <f t="shared" si="23"/>
        <v>-1424.0000000000002</v>
      </c>
      <c r="Z15" s="39">
        <f t="shared" si="23"/>
        <v>-1469.0000000000002</v>
      </c>
      <c r="AA15" s="40">
        <f t="shared" si="23"/>
        <v>-1569.3999999999999</v>
      </c>
      <c r="AB15" s="40">
        <f t="shared" si="23"/>
        <v>-1492.8000000000002</v>
      </c>
      <c r="AC15" s="41">
        <f t="shared" si="23"/>
        <v>-1554</v>
      </c>
      <c r="AD15" s="39">
        <f aca="true" t="shared" si="24" ref="AD15:AI15">SUM(AD16:AD19)</f>
        <v>-1638.2999999999995</v>
      </c>
      <c r="AE15" s="40">
        <f t="shared" si="24"/>
        <v>-1611.8</v>
      </c>
      <c r="AF15" s="40">
        <f t="shared" si="24"/>
        <v>-1661.1000000000001</v>
      </c>
      <c r="AG15" s="41">
        <f t="shared" si="24"/>
        <v>-1719.8</v>
      </c>
      <c r="AH15" s="40">
        <f t="shared" si="24"/>
        <v>-1791</v>
      </c>
      <c r="AI15" s="40">
        <f t="shared" si="24"/>
        <v>-1661.6999999999998</v>
      </c>
      <c r="AJ15" s="40">
        <f aca="true" t="shared" si="25" ref="AJ15:AP15">SUM(AJ16:AJ19)</f>
        <v>-1504.9000000000003</v>
      </c>
      <c r="AK15" s="41">
        <f t="shared" si="25"/>
        <v>-1545.9</v>
      </c>
      <c r="AL15" s="40">
        <f t="shared" si="25"/>
        <v>-1555.8999999999999</v>
      </c>
      <c r="AM15" s="40">
        <f t="shared" si="25"/>
        <v>-1479.5999999999997</v>
      </c>
      <c r="AN15" s="40">
        <f t="shared" si="25"/>
        <v>-1453.7</v>
      </c>
      <c r="AO15" s="41">
        <f t="shared" si="25"/>
        <v>-1467</v>
      </c>
      <c r="AP15" s="40">
        <f t="shared" si="25"/>
        <v>-1515.5</v>
      </c>
      <c r="AQ15" s="40">
        <f>SUM(AQ16:AQ19)</f>
        <v>-1535.1</v>
      </c>
    </row>
    <row r="16" spans="1:43" s="66" customFormat="1" ht="12.75">
      <c r="A16" s="105" t="s">
        <v>290</v>
      </c>
      <c r="B16" s="57">
        <f>SUM(B39,B63,B69,B87)</f>
        <v>-648.3000000000001</v>
      </c>
      <c r="C16" s="58">
        <f aca="true" t="shared" si="26" ref="C16:AC16">SUM(C39,C63,C69,C87)</f>
        <v>-602.3000000000001</v>
      </c>
      <c r="D16" s="58">
        <f t="shared" si="26"/>
        <v>-532.1999999999999</v>
      </c>
      <c r="E16" s="58">
        <f t="shared" si="26"/>
        <v>-536.9000000000001</v>
      </c>
      <c r="F16" s="57">
        <f t="shared" si="26"/>
        <v>-548.5999999999999</v>
      </c>
      <c r="G16" s="58">
        <f t="shared" si="26"/>
        <v>-392.79999999999995</v>
      </c>
      <c r="H16" s="58">
        <f t="shared" si="26"/>
        <v>-403.3</v>
      </c>
      <c r="I16" s="59">
        <f t="shared" si="26"/>
        <v>-491.2</v>
      </c>
      <c r="J16" s="57">
        <f t="shared" si="26"/>
        <v>-661.3000000000001</v>
      </c>
      <c r="K16" s="58">
        <f t="shared" si="26"/>
        <v>-753.1999999999999</v>
      </c>
      <c r="L16" s="58">
        <f t="shared" si="26"/>
        <v>-797.6</v>
      </c>
      <c r="M16" s="59">
        <f t="shared" si="26"/>
        <v>-868.1999999999999</v>
      </c>
      <c r="N16" s="57">
        <f t="shared" si="26"/>
        <v>-920.7</v>
      </c>
      <c r="O16" s="58">
        <f t="shared" si="26"/>
        <v>-962.2000000000002</v>
      </c>
      <c r="P16" s="58">
        <f t="shared" si="26"/>
        <v>-1031.7</v>
      </c>
      <c r="Q16" s="59">
        <f t="shared" si="26"/>
        <v>-1077.9</v>
      </c>
      <c r="R16" s="57">
        <f t="shared" si="26"/>
        <v>-1118.1</v>
      </c>
      <c r="S16" s="58">
        <f t="shared" si="26"/>
        <v>-1134.5</v>
      </c>
      <c r="T16" s="58">
        <f t="shared" si="26"/>
        <v>-1175.8</v>
      </c>
      <c r="U16" s="59">
        <f t="shared" si="26"/>
        <v>-1105.6</v>
      </c>
      <c r="V16" s="57">
        <f t="shared" si="26"/>
        <v>-1121.1000000000001</v>
      </c>
      <c r="W16" s="58">
        <f t="shared" si="26"/>
        <v>-1186.4</v>
      </c>
      <c r="X16" s="58">
        <f t="shared" si="26"/>
        <v>-1233.7</v>
      </c>
      <c r="Y16" s="59">
        <f t="shared" si="26"/>
        <v>-1287.4</v>
      </c>
      <c r="Z16" s="57">
        <f t="shared" si="26"/>
        <v>-1338.4</v>
      </c>
      <c r="AA16" s="58">
        <f t="shared" si="26"/>
        <v>-1437</v>
      </c>
      <c r="AB16" s="58">
        <f t="shared" si="26"/>
        <v>-1360</v>
      </c>
      <c r="AC16" s="59">
        <f t="shared" si="26"/>
        <v>-1481.6</v>
      </c>
      <c r="AD16" s="57">
        <f aca="true" t="shared" si="27" ref="AD16:AI16">SUM(AD39,AD63,AD69,AD87)</f>
        <v>-1560.4999999999998</v>
      </c>
      <c r="AE16" s="58">
        <f t="shared" si="27"/>
        <v>-1529.2</v>
      </c>
      <c r="AF16" s="58">
        <f t="shared" si="27"/>
        <v>-1583.8</v>
      </c>
      <c r="AG16" s="59">
        <f t="shared" si="27"/>
        <v>-1638.2</v>
      </c>
      <c r="AH16" s="58">
        <f t="shared" si="27"/>
        <v>-1679.4</v>
      </c>
      <c r="AI16" s="58">
        <f t="shared" si="27"/>
        <v>-1542.1</v>
      </c>
      <c r="AJ16" s="58">
        <f>SUM(AJ39,AJ63,AJ69,AJ87)</f>
        <v>-1376.6000000000001</v>
      </c>
      <c r="AK16" s="59">
        <f>SUM(AK39,AK63,AK69,AK87)</f>
        <v>-1390.7</v>
      </c>
      <c r="AL16" s="58">
        <f>SUM(AL39,AL63,AL69,AL87)</f>
        <v>-1365.7</v>
      </c>
      <c r="AM16" s="58">
        <f>SUM(AM39,AM63,AM69,AM87)</f>
        <v>-1409.8999999999999</v>
      </c>
      <c r="AN16" s="58">
        <v>-1384.6</v>
      </c>
      <c r="AO16" s="59">
        <v>-1376.7</v>
      </c>
      <c r="AP16" s="58">
        <v>-1435.1</v>
      </c>
      <c r="AQ16" s="58">
        <f>SUM(AQ39,AQ63,AQ69,AQ87)</f>
        <v>-1470.2</v>
      </c>
    </row>
    <row r="17" spans="1:43" s="66" customFormat="1" ht="12.75">
      <c r="A17" s="105" t="s">
        <v>291</v>
      </c>
      <c r="B17" s="57">
        <f>SUM(B64,B70)</f>
        <v>0</v>
      </c>
      <c r="C17" s="58">
        <f aca="true" t="shared" si="28" ref="C17:AC17">SUM(C64,C70)</f>
        <v>0</v>
      </c>
      <c r="D17" s="58">
        <f t="shared" si="28"/>
        <v>0</v>
      </c>
      <c r="E17" s="58">
        <f t="shared" si="28"/>
        <v>0</v>
      </c>
      <c r="F17" s="57">
        <f t="shared" si="28"/>
        <v>0</v>
      </c>
      <c r="G17" s="58">
        <f t="shared" si="28"/>
        <v>0</v>
      </c>
      <c r="H17" s="58">
        <f t="shared" si="28"/>
        <v>0</v>
      </c>
      <c r="I17" s="59">
        <f t="shared" si="28"/>
        <v>0</v>
      </c>
      <c r="J17" s="57">
        <f t="shared" si="28"/>
        <v>0</v>
      </c>
      <c r="K17" s="58">
        <f t="shared" si="28"/>
        <v>0</v>
      </c>
      <c r="L17" s="58">
        <f t="shared" si="28"/>
        <v>0</v>
      </c>
      <c r="M17" s="59">
        <f t="shared" si="28"/>
        <v>0</v>
      </c>
      <c r="N17" s="57">
        <f t="shared" si="28"/>
        <v>0</v>
      </c>
      <c r="O17" s="58">
        <f t="shared" si="28"/>
        <v>0</v>
      </c>
      <c r="P17" s="58">
        <f t="shared" si="28"/>
        <v>0</v>
      </c>
      <c r="Q17" s="59">
        <f t="shared" si="28"/>
        <v>0</v>
      </c>
      <c r="R17" s="57">
        <f t="shared" si="28"/>
        <v>0</v>
      </c>
      <c r="S17" s="58">
        <f t="shared" si="28"/>
        <v>0</v>
      </c>
      <c r="T17" s="58">
        <f t="shared" si="28"/>
        <v>0</v>
      </c>
      <c r="U17" s="59">
        <f t="shared" si="28"/>
        <v>0</v>
      </c>
      <c r="V17" s="57">
        <f t="shared" si="28"/>
        <v>-62.7</v>
      </c>
      <c r="W17" s="58">
        <f t="shared" si="28"/>
        <v>-61.800000000000004</v>
      </c>
      <c r="X17" s="58">
        <f t="shared" si="28"/>
        <v>-68.2</v>
      </c>
      <c r="Y17" s="59">
        <f t="shared" si="28"/>
        <v>-69.39999999999999</v>
      </c>
      <c r="Z17" s="57">
        <f t="shared" si="28"/>
        <v>-63.400000000000006</v>
      </c>
      <c r="AA17" s="58">
        <f t="shared" si="28"/>
        <v>-60</v>
      </c>
      <c r="AB17" s="58">
        <f t="shared" si="28"/>
        <v>-54.4</v>
      </c>
      <c r="AC17" s="59">
        <f t="shared" si="28"/>
        <v>-59.7</v>
      </c>
      <c r="AD17" s="57">
        <f aca="true" t="shared" si="29" ref="AD17:AI17">SUM(AD64,AD70)</f>
        <v>-62.6</v>
      </c>
      <c r="AE17" s="58">
        <f t="shared" si="29"/>
        <v>-64.6</v>
      </c>
      <c r="AF17" s="58">
        <f t="shared" si="29"/>
        <v>-63.7</v>
      </c>
      <c r="AG17" s="59">
        <f t="shared" si="29"/>
        <v>-62.099999999999994</v>
      </c>
      <c r="AH17" s="58">
        <f t="shared" si="29"/>
        <v>-51.99999999999999</v>
      </c>
      <c r="AI17" s="58">
        <f t="shared" si="29"/>
        <v>-43.6</v>
      </c>
      <c r="AJ17" s="58">
        <f>SUM(AJ64,AJ70)</f>
        <v>-38.4</v>
      </c>
      <c r="AK17" s="59">
        <f>SUM(AK64,AK70)</f>
        <v>-39.4</v>
      </c>
      <c r="AL17" s="58">
        <f>SUM(AL64,AL70)</f>
        <v>-43.099999999999994</v>
      </c>
      <c r="AM17" s="58">
        <f>SUM(AM64,AM70)</f>
        <v>-48.8</v>
      </c>
      <c r="AN17" s="58">
        <v>-46.4</v>
      </c>
      <c r="AO17" s="59">
        <v>-50.4</v>
      </c>
      <c r="AP17" s="58">
        <v>-40.9</v>
      </c>
      <c r="AQ17" s="58">
        <f>SUM(AQ64,AQ70)</f>
        <v>-28.8</v>
      </c>
    </row>
    <row r="18" spans="1:43" s="66" customFormat="1" ht="12.75">
      <c r="A18" s="105" t="s">
        <v>292</v>
      </c>
      <c r="B18" s="57">
        <f>SUM(B65,B71,B88)</f>
        <v>-2.5999999999999996</v>
      </c>
      <c r="C18" s="58">
        <f aca="true" t="shared" si="30" ref="C18:AC18">SUM(C65,C71,C88)</f>
        <v>-2.5999999999999996</v>
      </c>
      <c r="D18" s="58">
        <f t="shared" si="30"/>
        <v>-2.4</v>
      </c>
      <c r="E18" s="58">
        <f t="shared" si="30"/>
        <v>-2.4000000000000004</v>
      </c>
      <c r="F18" s="57">
        <f t="shared" si="30"/>
        <v>-2.6</v>
      </c>
      <c r="G18" s="58">
        <f t="shared" si="30"/>
        <v>-1.9</v>
      </c>
      <c r="H18" s="58">
        <f t="shared" si="30"/>
        <v>-2.1</v>
      </c>
      <c r="I18" s="59">
        <f t="shared" si="30"/>
        <v>-2.4</v>
      </c>
      <c r="J18" s="57">
        <f t="shared" si="30"/>
        <v>-3.5</v>
      </c>
      <c r="K18" s="58">
        <f t="shared" si="30"/>
        <v>-2.8</v>
      </c>
      <c r="L18" s="58">
        <f t="shared" si="30"/>
        <v>-2.9</v>
      </c>
      <c r="M18" s="59">
        <f t="shared" si="30"/>
        <v>-2.5</v>
      </c>
      <c r="N18" s="57">
        <f t="shared" si="30"/>
        <v>-2.2</v>
      </c>
      <c r="O18" s="58">
        <f t="shared" si="30"/>
        <v>-2.5</v>
      </c>
      <c r="P18" s="58">
        <f t="shared" si="30"/>
        <v>-2.3</v>
      </c>
      <c r="Q18" s="59">
        <f t="shared" si="30"/>
        <v>-2.1</v>
      </c>
      <c r="R18" s="57">
        <f t="shared" si="30"/>
        <v>-2.1</v>
      </c>
      <c r="S18" s="58">
        <f t="shared" si="30"/>
        <v>-2.3</v>
      </c>
      <c r="T18" s="58">
        <f t="shared" si="30"/>
        <v>-3.2</v>
      </c>
      <c r="U18" s="59">
        <f t="shared" si="30"/>
        <v>-3</v>
      </c>
      <c r="V18" s="57">
        <f t="shared" si="30"/>
        <v>-7.6</v>
      </c>
      <c r="W18" s="58">
        <f t="shared" si="30"/>
        <v>-6.1000000000000005</v>
      </c>
      <c r="X18" s="58">
        <f t="shared" si="30"/>
        <v>-6.299999999999999</v>
      </c>
      <c r="Y18" s="59">
        <f t="shared" si="30"/>
        <v>-9.4</v>
      </c>
      <c r="Z18" s="57">
        <f t="shared" si="30"/>
        <v>-8.2</v>
      </c>
      <c r="AA18" s="58">
        <f t="shared" si="30"/>
        <v>-8.600000000000001</v>
      </c>
      <c r="AB18" s="58">
        <f t="shared" si="30"/>
        <v>-9.4</v>
      </c>
      <c r="AC18" s="59">
        <f t="shared" si="30"/>
        <v>-11.899999999999999</v>
      </c>
      <c r="AD18" s="57">
        <f aca="true" t="shared" si="31" ref="AD18:AI18">SUM(AD65,AD71,AD88)</f>
        <v>-14.099999999999998</v>
      </c>
      <c r="AE18" s="58">
        <f t="shared" si="31"/>
        <v>-17.000000000000004</v>
      </c>
      <c r="AF18" s="58">
        <f t="shared" si="31"/>
        <v>-12.399999999999999</v>
      </c>
      <c r="AG18" s="59">
        <f t="shared" si="31"/>
        <v>-13.9</v>
      </c>
      <c r="AH18" s="58">
        <f t="shared" si="31"/>
        <v>-15</v>
      </c>
      <c r="AI18" s="58">
        <f t="shared" si="31"/>
        <v>-14</v>
      </c>
      <c r="AJ18" s="58">
        <f>SUM(AJ65,AJ71,AJ88)</f>
        <v>-12</v>
      </c>
      <c r="AK18" s="59">
        <f>SUM(AK65,AK71,AK88)</f>
        <v>-12.3</v>
      </c>
      <c r="AL18" s="58">
        <f>SUM(AL65,AL71,AL88)</f>
        <v>-17.1</v>
      </c>
      <c r="AM18" s="58">
        <f>SUM(AM65,AM71,AM88)</f>
        <v>-19.8</v>
      </c>
      <c r="AN18" s="58">
        <v>-21.3</v>
      </c>
      <c r="AO18" s="59">
        <v>-22.8</v>
      </c>
      <c r="AP18" s="58">
        <v>-23.1</v>
      </c>
      <c r="AQ18" s="58">
        <f>SUM(AQ65,AQ71,AQ88)</f>
        <v>-20</v>
      </c>
    </row>
    <row r="19" spans="1:43" s="66" customFormat="1" ht="12.75">
      <c r="A19" s="105" t="s">
        <v>342</v>
      </c>
      <c r="B19" s="57">
        <f aca="true" t="shared" si="32" ref="B19:AG19">SUM(B66,B89)</f>
        <v>-15</v>
      </c>
      <c r="C19" s="58">
        <f t="shared" si="32"/>
        <v>-14.5</v>
      </c>
      <c r="D19" s="58">
        <f t="shared" si="32"/>
        <v>-13.9</v>
      </c>
      <c r="E19" s="58">
        <f t="shared" si="32"/>
        <v>-13.5</v>
      </c>
      <c r="F19" s="57">
        <f t="shared" si="32"/>
        <v>-13.5</v>
      </c>
      <c r="G19" s="58">
        <f t="shared" si="32"/>
        <v>-0.1</v>
      </c>
      <c r="H19" s="58">
        <f t="shared" si="32"/>
        <v>0</v>
      </c>
      <c r="I19" s="59">
        <f t="shared" si="32"/>
        <v>0</v>
      </c>
      <c r="J19" s="57">
        <f t="shared" si="32"/>
        <v>0</v>
      </c>
      <c r="K19" s="58">
        <f t="shared" si="32"/>
        <v>-0.5</v>
      </c>
      <c r="L19" s="58">
        <f t="shared" si="32"/>
        <v>-0.9</v>
      </c>
      <c r="M19" s="59">
        <f t="shared" si="32"/>
        <v>-2</v>
      </c>
      <c r="N19" s="57">
        <f t="shared" si="32"/>
        <v>-3.3</v>
      </c>
      <c r="O19" s="58">
        <f t="shared" si="32"/>
        <v>-3.3</v>
      </c>
      <c r="P19" s="58">
        <f t="shared" si="32"/>
        <v>-3.1</v>
      </c>
      <c r="Q19" s="59">
        <f t="shared" si="32"/>
        <v>-0.2</v>
      </c>
      <c r="R19" s="57">
        <f t="shared" si="32"/>
        <v>-0.2</v>
      </c>
      <c r="S19" s="58">
        <f t="shared" si="32"/>
        <v>-0.2</v>
      </c>
      <c r="T19" s="58">
        <f t="shared" si="32"/>
        <v>-0.3</v>
      </c>
      <c r="U19" s="59">
        <f t="shared" si="32"/>
        <v>-0.2</v>
      </c>
      <c r="V19" s="57">
        <f t="shared" si="32"/>
        <v>-0.2</v>
      </c>
      <c r="W19" s="58">
        <f t="shared" si="32"/>
        <v>-32.3</v>
      </c>
      <c r="X19" s="58">
        <f t="shared" si="32"/>
        <v>-46.5</v>
      </c>
      <c r="Y19" s="59">
        <f t="shared" si="32"/>
        <v>-57.8</v>
      </c>
      <c r="Z19" s="57">
        <f t="shared" si="32"/>
        <v>-59</v>
      </c>
      <c r="AA19" s="58">
        <f t="shared" si="32"/>
        <v>-63.800000000000004</v>
      </c>
      <c r="AB19" s="58">
        <f t="shared" si="32"/>
        <v>-69</v>
      </c>
      <c r="AC19" s="59">
        <f t="shared" si="32"/>
        <v>-0.8</v>
      </c>
      <c r="AD19" s="57">
        <f t="shared" si="32"/>
        <v>-1.1</v>
      </c>
      <c r="AE19" s="58">
        <f t="shared" si="32"/>
        <v>-1</v>
      </c>
      <c r="AF19" s="58">
        <f t="shared" si="32"/>
        <v>-1.2</v>
      </c>
      <c r="AG19" s="59">
        <f t="shared" si="32"/>
        <v>-5.6</v>
      </c>
      <c r="AH19" s="58">
        <f>SUM(AH66,AH89)</f>
        <v>-44.60000000000001</v>
      </c>
      <c r="AI19" s="58">
        <f>SUM(AI66,AI89)</f>
        <v>-62</v>
      </c>
      <c r="AJ19" s="58">
        <f>SUM(AJ66,AJ89)</f>
        <v>-77.9</v>
      </c>
      <c r="AK19" s="59">
        <f>SUM(AK40,AK66,AK89)</f>
        <v>-103.49999999999999</v>
      </c>
      <c r="AL19" s="58">
        <f>SUM(AL40,AL66,AL89)</f>
        <v>-129.99999999999997</v>
      </c>
      <c r="AM19" s="58">
        <f>SUM(AM40,AM66,AM89)</f>
        <v>-1.0999999999999999</v>
      </c>
      <c r="AN19" s="58">
        <v>-1.4</v>
      </c>
      <c r="AO19" s="59">
        <v>-17.1</v>
      </c>
      <c r="AP19" s="58">
        <v>-16.4</v>
      </c>
      <c r="AQ19" s="58">
        <f>SUM(AQ40,AQ66,AQ89)</f>
        <v>-16.099999999999998</v>
      </c>
    </row>
    <row r="20" spans="1:43" s="9" customFormat="1" ht="12.75">
      <c r="A20" s="103" t="s">
        <v>129</v>
      </c>
      <c r="B20" s="39">
        <f>SUM(B21:B22)</f>
        <v>-8.6</v>
      </c>
      <c r="C20" s="40">
        <f aca="true" t="shared" si="33" ref="C20:AG20">SUM(C21:C22)</f>
        <v>-8.6</v>
      </c>
      <c r="D20" s="40">
        <f t="shared" si="33"/>
        <v>-8.6</v>
      </c>
      <c r="E20" s="40">
        <f t="shared" si="33"/>
        <v>-8.6</v>
      </c>
      <c r="F20" s="39">
        <f t="shared" si="33"/>
        <v>-8.6</v>
      </c>
      <c r="G20" s="40">
        <f t="shared" si="33"/>
        <v>-8.6</v>
      </c>
      <c r="H20" s="40">
        <f t="shared" si="33"/>
        <v>-8.6</v>
      </c>
      <c r="I20" s="41">
        <f t="shared" si="33"/>
        <v>-8.6</v>
      </c>
      <c r="J20" s="39">
        <f t="shared" si="33"/>
        <v>-8.6</v>
      </c>
      <c r="K20" s="40">
        <f t="shared" si="33"/>
        <v>-8.6</v>
      </c>
      <c r="L20" s="40">
        <f t="shared" si="33"/>
        <v>-8.6</v>
      </c>
      <c r="M20" s="41">
        <f t="shared" si="33"/>
        <v>-8.6</v>
      </c>
      <c r="N20" s="39">
        <f t="shared" si="33"/>
        <v>-8.6</v>
      </c>
      <c r="O20" s="40">
        <f t="shared" si="33"/>
        <v>-8.6</v>
      </c>
      <c r="P20" s="40">
        <f t="shared" si="33"/>
        <v>-5.2</v>
      </c>
      <c r="Q20" s="41">
        <f t="shared" si="33"/>
        <v>-5.2</v>
      </c>
      <c r="R20" s="39">
        <f t="shared" si="33"/>
        <v>-5.2</v>
      </c>
      <c r="S20" s="40">
        <f t="shared" si="33"/>
        <v>-5.2</v>
      </c>
      <c r="T20" s="40">
        <f t="shared" si="33"/>
        <v>-5.2</v>
      </c>
      <c r="U20" s="41">
        <f t="shared" si="33"/>
        <v>-5.2</v>
      </c>
      <c r="V20" s="39">
        <f t="shared" si="33"/>
        <v>-5.1</v>
      </c>
      <c r="W20" s="40">
        <f t="shared" si="33"/>
        <v>-5.2</v>
      </c>
      <c r="X20" s="40">
        <f t="shared" si="33"/>
        <v>-5.2</v>
      </c>
      <c r="Y20" s="41">
        <f t="shared" si="33"/>
        <v>-5.2</v>
      </c>
      <c r="Z20" s="39">
        <f t="shared" si="33"/>
        <v>-5.2</v>
      </c>
      <c r="AA20" s="40">
        <f t="shared" si="33"/>
        <v>-5.3</v>
      </c>
      <c r="AB20" s="40">
        <f t="shared" si="33"/>
        <v>-5.3</v>
      </c>
      <c r="AC20" s="41">
        <f t="shared" si="33"/>
        <v>-5.6000000000000005</v>
      </c>
      <c r="AD20" s="39">
        <f t="shared" si="33"/>
        <v>-5.6000000000000005</v>
      </c>
      <c r="AE20" s="40">
        <f t="shared" si="33"/>
        <v>-5.6000000000000005</v>
      </c>
      <c r="AF20" s="40">
        <f t="shared" si="33"/>
        <v>-5.6000000000000005</v>
      </c>
      <c r="AG20" s="41">
        <f t="shared" si="33"/>
        <v>-5.7</v>
      </c>
      <c r="AH20" s="40">
        <f aca="true" t="shared" si="34" ref="AH20:AP20">SUM(AH21:AH22)</f>
        <v>-0.9</v>
      </c>
      <c r="AI20" s="40">
        <f t="shared" si="34"/>
        <v>-0.9</v>
      </c>
      <c r="AJ20" s="40">
        <f t="shared" si="34"/>
        <v>-1</v>
      </c>
      <c r="AK20" s="41">
        <f t="shared" si="34"/>
        <v>-1</v>
      </c>
      <c r="AL20" s="40">
        <f t="shared" si="34"/>
        <v>-1.2</v>
      </c>
      <c r="AM20" s="40">
        <f>SUM(AM21:AM22)</f>
        <v>-1.2</v>
      </c>
      <c r="AN20" s="40">
        <f>SUM(AN21:AN22)</f>
        <v>-1.2</v>
      </c>
      <c r="AO20" s="41">
        <f t="shared" si="34"/>
        <v>-0.7</v>
      </c>
      <c r="AP20" s="40">
        <f t="shared" si="34"/>
        <v>-0.7</v>
      </c>
      <c r="AQ20" s="40">
        <f>SUM(AQ21:AQ22)</f>
        <v>-0.7</v>
      </c>
    </row>
    <row r="21" spans="1:43" s="9" customFormat="1" ht="12.75">
      <c r="A21" s="105" t="s">
        <v>338</v>
      </c>
      <c r="B21" s="39">
        <f aca="true" t="shared" si="35" ref="B21:AG21">B90</f>
        <v>0</v>
      </c>
      <c r="C21" s="40">
        <f t="shared" si="35"/>
        <v>0</v>
      </c>
      <c r="D21" s="40">
        <f t="shared" si="35"/>
        <v>0</v>
      </c>
      <c r="E21" s="40">
        <f t="shared" si="35"/>
        <v>0</v>
      </c>
      <c r="F21" s="39">
        <f t="shared" si="35"/>
        <v>0</v>
      </c>
      <c r="G21" s="40">
        <f t="shared" si="35"/>
        <v>0</v>
      </c>
      <c r="H21" s="40">
        <f t="shared" si="35"/>
        <v>0</v>
      </c>
      <c r="I21" s="41">
        <f t="shared" si="35"/>
        <v>0</v>
      </c>
      <c r="J21" s="39">
        <f t="shared" si="35"/>
        <v>0</v>
      </c>
      <c r="K21" s="40">
        <f t="shared" si="35"/>
        <v>0</v>
      </c>
      <c r="L21" s="40">
        <f t="shared" si="35"/>
        <v>0</v>
      </c>
      <c r="M21" s="41">
        <f t="shared" si="35"/>
        <v>0</v>
      </c>
      <c r="N21" s="39">
        <f t="shared" si="35"/>
        <v>0</v>
      </c>
      <c r="O21" s="40">
        <f t="shared" si="35"/>
        <v>0</v>
      </c>
      <c r="P21" s="40">
        <f t="shared" si="35"/>
        <v>0</v>
      </c>
      <c r="Q21" s="41">
        <f t="shared" si="35"/>
        <v>0</v>
      </c>
      <c r="R21" s="39">
        <f t="shared" si="35"/>
        <v>0</v>
      </c>
      <c r="S21" s="40">
        <f t="shared" si="35"/>
        <v>0</v>
      </c>
      <c r="T21" s="40">
        <f t="shared" si="35"/>
        <v>0</v>
      </c>
      <c r="U21" s="41">
        <f t="shared" si="35"/>
        <v>0</v>
      </c>
      <c r="V21" s="39">
        <f t="shared" si="35"/>
        <v>0</v>
      </c>
      <c r="W21" s="40">
        <f t="shared" si="35"/>
        <v>0</v>
      </c>
      <c r="X21" s="40">
        <f t="shared" si="35"/>
        <v>0</v>
      </c>
      <c r="Y21" s="41">
        <f t="shared" si="35"/>
        <v>0</v>
      </c>
      <c r="Z21" s="39">
        <f t="shared" si="35"/>
        <v>0</v>
      </c>
      <c r="AA21" s="40">
        <f t="shared" si="35"/>
        <v>-0.1</v>
      </c>
      <c r="AB21" s="40">
        <f t="shared" si="35"/>
        <v>-0.1</v>
      </c>
      <c r="AC21" s="41">
        <f t="shared" si="35"/>
        <v>-0.4</v>
      </c>
      <c r="AD21" s="39">
        <f t="shared" si="35"/>
        <v>-0.4</v>
      </c>
      <c r="AE21" s="40">
        <f t="shared" si="35"/>
        <v>-0.4</v>
      </c>
      <c r="AF21" s="40">
        <f t="shared" si="35"/>
        <v>-0.4</v>
      </c>
      <c r="AG21" s="41">
        <f t="shared" si="35"/>
        <v>-0.5</v>
      </c>
      <c r="AH21" s="40">
        <f aca="true" t="shared" si="36" ref="AH21:AP21">AH90</f>
        <v>-0.4</v>
      </c>
      <c r="AI21" s="40">
        <f t="shared" si="36"/>
        <v>-0.4</v>
      </c>
      <c r="AJ21" s="40">
        <f t="shared" si="36"/>
        <v>-0.5</v>
      </c>
      <c r="AK21" s="41">
        <f t="shared" si="36"/>
        <v>-0.5</v>
      </c>
      <c r="AL21" s="40">
        <f t="shared" si="36"/>
        <v>-0.7</v>
      </c>
      <c r="AM21" s="40">
        <f t="shared" si="36"/>
        <v>-0.7</v>
      </c>
      <c r="AN21" s="40">
        <f t="shared" si="36"/>
        <v>-0.7</v>
      </c>
      <c r="AO21" s="41">
        <f t="shared" si="36"/>
        <v>-0.7</v>
      </c>
      <c r="AP21" s="40">
        <f t="shared" si="36"/>
        <v>-0.7</v>
      </c>
      <c r="AQ21" s="40">
        <f>AQ90</f>
        <v>-0.7</v>
      </c>
    </row>
    <row r="22" spans="1:43" s="9" customFormat="1" ht="12.75">
      <c r="A22" s="105" t="s">
        <v>339</v>
      </c>
      <c r="B22" s="39">
        <f aca="true" t="shared" si="37" ref="B22:AF22">SUM(B67,B72)</f>
        <v>-8.6</v>
      </c>
      <c r="C22" s="40">
        <f t="shared" si="37"/>
        <v>-8.6</v>
      </c>
      <c r="D22" s="40">
        <f t="shared" si="37"/>
        <v>-8.6</v>
      </c>
      <c r="E22" s="40">
        <f t="shared" si="37"/>
        <v>-8.6</v>
      </c>
      <c r="F22" s="39">
        <f t="shared" si="37"/>
        <v>-8.6</v>
      </c>
      <c r="G22" s="40">
        <f t="shared" si="37"/>
        <v>-8.6</v>
      </c>
      <c r="H22" s="40">
        <f t="shared" si="37"/>
        <v>-8.6</v>
      </c>
      <c r="I22" s="41">
        <f t="shared" si="37"/>
        <v>-8.6</v>
      </c>
      <c r="J22" s="39">
        <f t="shared" si="37"/>
        <v>-8.6</v>
      </c>
      <c r="K22" s="40">
        <f t="shared" si="37"/>
        <v>-8.6</v>
      </c>
      <c r="L22" s="40">
        <f t="shared" si="37"/>
        <v>-8.6</v>
      </c>
      <c r="M22" s="41">
        <f t="shared" si="37"/>
        <v>-8.6</v>
      </c>
      <c r="N22" s="39">
        <f t="shared" si="37"/>
        <v>-8.6</v>
      </c>
      <c r="O22" s="40">
        <f t="shared" si="37"/>
        <v>-8.6</v>
      </c>
      <c r="P22" s="40">
        <f t="shared" si="37"/>
        <v>-5.2</v>
      </c>
      <c r="Q22" s="41">
        <f t="shared" si="37"/>
        <v>-5.2</v>
      </c>
      <c r="R22" s="39">
        <f t="shared" si="37"/>
        <v>-5.2</v>
      </c>
      <c r="S22" s="40">
        <f t="shared" si="37"/>
        <v>-5.2</v>
      </c>
      <c r="T22" s="40">
        <f t="shared" si="37"/>
        <v>-5.2</v>
      </c>
      <c r="U22" s="41">
        <f t="shared" si="37"/>
        <v>-5.2</v>
      </c>
      <c r="V22" s="39">
        <f t="shared" si="37"/>
        <v>-5.1</v>
      </c>
      <c r="W22" s="40">
        <f t="shared" si="37"/>
        <v>-5.2</v>
      </c>
      <c r="X22" s="40">
        <f t="shared" si="37"/>
        <v>-5.2</v>
      </c>
      <c r="Y22" s="41">
        <f t="shared" si="37"/>
        <v>-5.2</v>
      </c>
      <c r="Z22" s="39">
        <f t="shared" si="37"/>
        <v>-5.2</v>
      </c>
      <c r="AA22" s="40">
        <f t="shared" si="37"/>
        <v>-5.2</v>
      </c>
      <c r="AB22" s="40">
        <f t="shared" si="37"/>
        <v>-5.2</v>
      </c>
      <c r="AC22" s="41">
        <f t="shared" si="37"/>
        <v>-5.2</v>
      </c>
      <c r="AD22" s="39">
        <f t="shared" si="37"/>
        <v>-5.2</v>
      </c>
      <c r="AE22" s="40">
        <f t="shared" si="37"/>
        <v>-5.2</v>
      </c>
      <c r="AF22" s="40">
        <f t="shared" si="37"/>
        <v>-5.2</v>
      </c>
      <c r="AG22" s="41">
        <f aca="true" t="shared" si="38" ref="AG22:AL22">SUM(AG67,AG72)</f>
        <v>-5.2</v>
      </c>
      <c r="AH22" s="40">
        <f t="shared" si="38"/>
        <v>-0.5</v>
      </c>
      <c r="AI22" s="40">
        <f t="shared" si="38"/>
        <v>-0.5</v>
      </c>
      <c r="AJ22" s="40">
        <f t="shared" si="38"/>
        <v>-0.5</v>
      </c>
      <c r="AK22" s="41">
        <f t="shared" si="38"/>
        <v>-0.5</v>
      </c>
      <c r="AL22" s="40">
        <f t="shared" si="38"/>
        <v>-0.5</v>
      </c>
      <c r="AM22" s="40">
        <f>SUM(AM67,AM72)</f>
        <v>-0.5</v>
      </c>
      <c r="AN22" s="40">
        <f>SUM(AN67,AN72)</f>
        <v>-0.5</v>
      </c>
      <c r="AO22" s="41">
        <f>SUM(AO67,AO72)</f>
        <v>0</v>
      </c>
      <c r="AP22" s="40">
        <v>0</v>
      </c>
      <c r="AQ22" s="40">
        <f>SUM(AQ67,AQ72)</f>
        <v>0</v>
      </c>
    </row>
    <row r="23" spans="1:43" s="201" customFormat="1" ht="21" customHeight="1">
      <c r="A23" s="146" t="s">
        <v>130</v>
      </c>
      <c r="B23" s="198">
        <f>B13+B14</f>
        <v>13782.6</v>
      </c>
      <c r="C23" s="199">
        <f aca="true" t="shared" si="39" ref="C23:AC23">C13+C14</f>
        <v>14567.2</v>
      </c>
      <c r="D23" s="199">
        <f t="shared" si="39"/>
        <v>15449.399999999998</v>
      </c>
      <c r="E23" s="199">
        <f t="shared" si="39"/>
        <v>16379.099999999997</v>
      </c>
      <c r="F23" s="198">
        <f t="shared" si="39"/>
        <v>18039.899999999998</v>
      </c>
      <c r="G23" s="199">
        <f t="shared" si="39"/>
        <v>19569.4</v>
      </c>
      <c r="H23" s="199">
        <f t="shared" si="39"/>
        <v>21915.8</v>
      </c>
      <c r="I23" s="200">
        <f t="shared" si="39"/>
        <v>25584.7</v>
      </c>
      <c r="J23" s="198">
        <f t="shared" si="39"/>
        <v>28871.3</v>
      </c>
      <c r="K23" s="199">
        <f t="shared" si="39"/>
        <v>28613.9</v>
      </c>
      <c r="L23" s="199">
        <f t="shared" si="39"/>
        <v>28835.2</v>
      </c>
      <c r="M23" s="200">
        <f t="shared" si="39"/>
        <v>29966.1</v>
      </c>
      <c r="N23" s="198">
        <f t="shared" si="39"/>
        <v>29973.300000000003</v>
      </c>
      <c r="O23" s="199">
        <f t="shared" si="39"/>
        <v>31653.100000000002</v>
      </c>
      <c r="P23" s="199">
        <f t="shared" si="39"/>
        <v>33229.799999999996</v>
      </c>
      <c r="Q23" s="200">
        <f t="shared" si="39"/>
        <v>34509</v>
      </c>
      <c r="R23" s="198">
        <f t="shared" si="39"/>
        <v>35292.9</v>
      </c>
      <c r="S23" s="199">
        <f t="shared" si="39"/>
        <v>37014.1</v>
      </c>
      <c r="T23" s="199">
        <f t="shared" si="39"/>
        <v>39699.6</v>
      </c>
      <c r="U23" s="200">
        <f t="shared" si="39"/>
        <v>42329.7</v>
      </c>
      <c r="V23" s="198">
        <f t="shared" si="39"/>
        <v>47717.3</v>
      </c>
      <c r="W23" s="199">
        <f t="shared" si="39"/>
        <v>48490.59999999999</v>
      </c>
      <c r="X23" s="199">
        <f t="shared" si="39"/>
        <v>49275.1</v>
      </c>
      <c r="Y23" s="200">
        <f t="shared" si="39"/>
        <v>48985.299999999996</v>
      </c>
      <c r="Z23" s="198">
        <f t="shared" si="39"/>
        <v>49119.3</v>
      </c>
      <c r="AA23" s="199">
        <f t="shared" si="39"/>
        <v>50472.50000000001</v>
      </c>
      <c r="AB23" s="199">
        <f t="shared" si="39"/>
        <v>52105.2</v>
      </c>
      <c r="AC23" s="200">
        <f t="shared" si="39"/>
        <v>52237.899999999994</v>
      </c>
      <c r="AD23" s="198">
        <f aca="true" t="shared" si="40" ref="AD23:AI23">AD13+AD14</f>
        <v>54597.10000000001</v>
      </c>
      <c r="AE23" s="199">
        <f t="shared" si="40"/>
        <v>57319</v>
      </c>
      <c r="AF23" s="199">
        <f t="shared" si="40"/>
        <v>60219.000000000015</v>
      </c>
      <c r="AG23" s="200">
        <f t="shared" si="40"/>
        <v>61054.799999999996</v>
      </c>
      <c r="AH23" s="199">
        <f t="shared" si="40"/>
        <v>63399</v>
      </c>
      <c r="AI23" s="199">
        <f t="shared" si="40"/>
        <v>68127.2</v>
      </c>
      <c r="AJ23" s="199">
        <f aca="true" t="shared" si="41" ref="AJ23:AQ23">AJ13+AJ14</f>
        <v>71425.2</v>
      </c>
      <c r="AK23" s="200">
        <f t="shared" si="41"/>
        <v>72519.6</v>
      </c>
      <c r="AL23" s="199">
        <f t="shared" si="41"/>
        <v>75329.99999999999</v>
      </c>
      <c r="AM23" s="199">
        <f t="shared" si="41"/>
        <v>78308.6</v>
      </c>
      <c r="AN23" s="199">
        <f t="shared" si="41"/>
        <v>80377.40000000001</v>
      </c>
      <c r="AO23" s="200">
        <f t="shared" si="41"/>
        <v>81979.5</v>
      </c>
      <c r="AP23" s="199">
        <f>AP13+AP14</f>
        <v>84379.59999999999</v>
      </c>
      <c r="AQ23" s="199">
        <f t="shared" si="41"/>
        <v>86902.30000000002</v>
      </c>
    </row>
    <row r="24" spans="1:43" ht="22.5">
      <c r="A24" s="89" t="s">
        <v>211</v>
      </c>
      <c r="B24" s="39">
        <f>SUM(B41)</f>
        <v>2250.1000000000004</v>
      </c>
      <c r="C24" s="40">
        <f aca="true" t="shared" si="42" ref="C24:W24">SUM(C41)</f>
        <v>2122.5</v>
      </c>
      <c r="D24" s="40">
        <f t="shared" si="42"/>
        <v>2125.7</v>
      </c>
      <c r="E24" s="40">
        <f t="shared" si="42"/>
        <v>2336.7999999999997</v>
      </c>
      <c r="F24" s="39">
        <f t="shared" si="42"/>
        <v>2551.2000000000003</v>
      </c>
      <c r="G24" s="40">
        <f t="shared" si="42"/>
        <v>2702.2</v>
      </c>
      <c r="H24" s="40">
        <f t="shared" si="42"/>
        <v>3069.0000000000005</v>
      </c>
      <c r="I24" s="41">
        <f t="shared" si="42"/>
        <v>3021.2999999999997</v>
      </c>
      <c r="J24" s="39">
        <f t="shared" si="42"/>
        <v>2968.2000000000003</v>
      </c>
      <c r="K24" s="40">
        <f t="shared" si="42"/>
        <v>2833.2999999999997</v>
      </c>
      <c r="L24" s="40">
        <f t="shared" si="42"/>
        <v>2809.5000000000005</v>
      </c>
      <c r="M24" s="41">
        <f t="shared" si="42"/>
        <v>2695.2</v>
      </c>
      <c r="N24" s="39">
        <f t="shared" si="42"/>
        <v>2513</v>
      </c>
      <c r="O24" s="40">
        <f t="shared" si="42"/>
        <v>2547.9</v>
      </c>
      <c r="P24" s="40">
        <f t="shared" si="42"/>
        <v>2580.1</v>
      </c>
      <c r="Q24" s="41">
        <f t="shared" si="42"/>
        <v>2666.2999999999997</v>
      </c>
      <c r="R24" s="39">
        <f t="shared" si="42"/>
        <v>2664.8999999999996</v>
      </c>
      <c r="S24" s="40">
        <f t="shared" si="42"/>
        <v>2868.7000000000003</v>
      </c>
      <c r="T24" s="40">
        <f t="shared" si="42"/>
        <v>2873.2</v>
      </c>
      <c r="U24" s="41">
        <f t="shared" si="42"/>
        <v>2908.8999999999996</v>
      </c>
      <c r="V24" s="39">
        <f t="shared" si="42"/>
        <v>1248.9</v>
      </c>
      <c r="W24" s="40">
        <f t="shared" si="42"/>
        <v>1377.1000000000001</v>
      </c>
      <c r="X24" s="40">
        <f aca="true" t="shared" si="43" ref="X24:AC24">SUM(X41)</f>
        <v>1525.4999999999995</v>
      </c>
      <c r="Y24" s="41">
        <f t="shared" si="43"/>
        <v>1645.3999999999999</v>
      </c>
      <c r="Z24" s="39">
        <f t="shared" si="43"/>
        <v>1405.8999999999996</v>
      </c>
      <c r="AA24" s="40">
        <f t="shared" si="43"/>
        <v>1421.8000000000002</v>
      </c>
      <c r="AB24" s="40">
        <f t="shared" si="43"/>
        <v>1531</v>
      </c>
      <c r="AC24" s="41">
        <f t="shared" si="43"/>
        <v>1568.1</v>
      </c>
      <c r="AD24" s="39">
        <f aca="true" t="shared" si="44" ref="AD24:AI24">SUM(AD41)</f>
        <v>1544.0999999999997</v>
      </c>
      <c r="AE24" s="40">
        <f t="shared" si="44"/>
        <v>1733.2</v>
      </c>
      <c r="AF24" s="40">
        <f t="shared" si="44"/>
        <v>1780.4</v>
      </c>
      <c r="AG24" s="41">
        <f t="shared" si="44"/>
        <v>1869.0999999999997</v>
      </c>
      <c r="AH24" s="40">
        <f t="shared" si="44"/>
        <v>1750.6999999999998</v>
      </c>
      <c r="AI24" s="40">
        <f t="shared" si="44"/>
        <v>2197.4</v>
      </c>
      <c r="AJ24" s="40">
        <f>SUM(AJ41)</f>
        <v>2017.2</v>
      </c>
      <c r="AK24" s="41">
        <f>SUM(AK41)</f>
        <v>2510</v>
      </c>
      <c r="AL24" s="40">
        <f>SUM(AL41)</f>
        <v>2306.6</v>
      </c>
      <c r="AM24" s="40">
        <f>SUM(AM41)</f>
        <v>2335.8</v>
      </c>
      <c r="AN24" s="40">
        <v>2065.4</v>
      </c>
      <c r="AO24" s="41">
        <v>2347.3</v>
      </c>
      <c r="AP24" s="40">
        <v>2373.6</v>
      </c>
      <c r="AQ24" s="40">
        <f>SUM(AQ41)</f>
        <v>2525.3999999999996</v>
      </c>
    </row>
    <row r="25" spans="1:43" ht="12.75">
      <c r="A25" s="89" t="s">
        <v>212</v>
      </c>
      <c r="B25" s="39">
        <f>SUM(B73)</f>
        <v>10936.4</v>
      </c>
      <c r="C25" s="40">
        <f aca="true" t="shared" si="45" ref="C25:W25">SUM(C73)</f>
        <v>11871.600000000002</v>
      </c>
      <c r="D25" s="40">
        <f t="shared" si="45"/>
        <v>12740.500000000002</v>
      </c>
      <c r="E25" s="40">
        <f t="shared" si="45"/>
        <v>13374.599999999999</v>
      </c>
      <c r="F25" s="39">
        <f t="shared" si="45"/>
        <v>14847.1</v>
      </c>
      <c r="G25" s="40">
        <f t="shared" si="45"/>
        <v>16219.1</v>
      </c>
      <c r="H25" s="40">
        <f t="shared" si="45"/>
        <v>18175.9</v>
      </c>
      <c r="I25" s="41">
        <f t="shared" si="45"/>
        <v>19872.3</v>
      </c>
      <c r="J25" s="39">
        <f t="shared" si="45"/>
        <v>21133</v>
      </c>
      <c r="K25" s="40">
        <f t="shared" si="45"/>
        <v>21306.3</v>
      </c>
      <c r="L25" s="40">
        <f t="shared" si="45"/>
        <v>21405.799999999996</v>
      </c>
      <c r="M25" s="41">
        <f t="shared" si="45"/>
        <v>21370.2</v>
      </c>
      <c r="N25" s="39">
        <f t="shared" si="45"/>
        <v>21705.399999999998</v>
      </c>
      <c r="O25" s="40">
        <f t="shared" si="45"/>
        <v>22864.8</v>
      </c>
      <c r="P25" s="40">
        <f t="shared" si="45"/>
        <v>24292.4</v>
      </c>
      <c r="Q25" s="41">
        <f t="shared" si="45"/>
        <v>25223.8</v>
      </c>
      <c r="R25" s="39">
        <f t="shared" si="45"/>
        <v>26088.6</v>
      </c>
      <c r="S25" s="40">
        <f t="shared" si="45"/>
        <v>27686.6</v>
      </c>
      <c r="T25" s="40">
        <f t="shared" si="45"/>
        <v>29593.499999999996</v>
      </c>
      <c r="U25" s="41">
        <f t="shared" si="45"/>
        <v>31635.8</v>
      </c>
      <c r="V25" s="39">
        <f t="shared" si="45"/>
        <v>38737.6</v>
      </c>
      <c r="W25" s="40">
        <f t="shared" si="45"/>
        <v>39331.9</v>
      </c>
      <c r="X25" s="40">
        <f aca="true" t="shared" si="46" ref="X25:AC25">SUM(X73)</f>
        <v>40103.6</v>
      </c>
      <c r="Y25" s="41">
        <f t="shared" si="46"/>
        <v>39645</v>
      </c>
      <c r="Z25" s="39">
        <f t="shared" si="46"/>
        <v>40060</v>
      </c>
      <c r="AA25" s="40">
        <f t="shared" si="46"/>
        <v>41569.4</v>
      </c>
      <c r="AB25" s="40">
        <f t="shared" si="46"/>
        <v>43262.09999999999</v>
      </c>
      <c r="AC25" s="41">
        <f t="shared" si="46"/>
        <v>43409.09999999999</v>
      </c>
      <c r="AD25" s="39">
        <f aca="true" t="shared" si="47" ref="AD25:AI25">SUM(AD73)</f>
        <v>45744.6</v>
      </c>
      <c r="AE25" s="40">
        <f t="shared" si="47"/>
        <v>48332.40000000001</v>
      </c>
      <c r="AF25" s="40">
        <f t="shared" si="47"/>
        <v>51030.6</v>
      </c>
      <c r="AG25" s="41">
        <f t="shared" si="47"/>
        <v>51461.1</v>
      </c>
      <c r="AH25" s="40">
        <f t="shared" si="47"/>
        <v>54115.90000000001</v>
      </c>
      <c r="AI25" s="40">
        <f t="shared" si="47"/>
        <v>58468.7</v>
      </c>
      <c r="AJ25" s="40">
        <f>SUM(AJ73)</f>
        <v>61918.399999999994</v>
      </c>
      <c r="AK25" s="41">
        <f>SUM(AK73)</f>
        <v>62285.600000000006</v>
      </c>
      <c r="AL25" s="40">
        <f>SUM(AL73)</f>
        <v>65329.900000000016</v>
      </c>
      <c r="AM25" s="40">
        <f>SUM(AM73)</f>
        <v>68319.40000000001</v>
      </c>
      <c r="AN25" s="40">
        <v>70845.1</v>
      </c>
      <c r="AO25" s="41">
        <v>72306.2</v>
      </c>
      <c r="AP25" s="40">
        <v>74940.8</v>
      </c>
      <c r="AQ25" s="40">
        <f>SUM(AQ73)</f>
        <v>77554.6</v>
      </c>
    </row>
    <row r="26" spans="1:43" ht="22.5">
      <c r="A26" s="89" t="s">
        <v>213</v>
      </c>
      <c r="B26" s="39">
        <f>SUM(B91)</f>
        <v>596.1</v>
      </c>
      <c r="C26" s="40">
        <f aca="true" t="shared" si="48" ref="C26:W26">SUM(C91)</f>
        <v>573.1</v>
      </c>
      <c r="D26" s="40">
        <f t="shared" si="48"/>
        <v>583.2</v>
      </c>
      <c r="E26" s="40">
        <f t="shared" si="48"/>
        <v>667.6999999999999</v>
      </c>
      <c r="F26" s="39">
        <f t="shared" si="48"/>
        <v>641.6</v>
      </c>
      <c r="G26" s="40">
        <f t="shared" si="48"/>
        <v>648.1</v>
      </c>
      <c r="H26" s="40">
        <f t="shared" si="48"/>
        <v>670.9</v>
      </c>
      <c r="I26" s="41">
        <f t="shared" si="48"/>
        <v>2691.1</v>
      </c>
      <c r="J26" s="39">
        <f t="shared" si="48"/>
        <v>4770.1</v>
      </c>
      <c r="K26" s="40">
        <f t="shared" si="48"/>
        <v>4474.299999999999</v>
      </c>
      <c r="L26" s="40">
        <f t="shared" si="48"/>
        <v>4619.900000000001</v>
      </c>
      <c r="M26" s="41">
        <f t="shared" si="48"/>
        <v>5900.700000000001</v>
      </c>
      <c r="N26" s="39">
        <f t="shared" si="48"/>
        <v>5754.900000000001</v>
      </c>
      <c r="O26" s="40">
        <f t="shared" si="48"/>
        <v>6240.400000000001</v>
      </c>
      <c r="P26" s="40">
        <f t="shared" si="48"/>
        <v>6357.299999999999</v>
      </c>
      <c r="Q26" s="41">
        <f t="shared" si="48"/>
        <v>6618.9</v>
      </c>
      <c r="R26" s="39">
        <f t="shared" si="48"/>
        <v>6539.4</v>
      </c>
      <c r="S26" s="40">
        <f t="shared" si="48"/>
        <v>6458.8</v>
      </c>
      <c r="T26" s="40">
        <f t="shared" si="48"/>
        <v>7232.9</v>
      </c>
      <c r="U26" s="41">
        <f t="shared" si="48"/>
        <v>7785</v>
      </c>
      <c r="V26" s="39">
        <f t="shared" si="48"/>
        <v>7730.8</v>
      </c>
      <c r="W26" s="40">
        <f t="shared" si="48"/>
        <v>7781.6</v>
      </c>
      <c r="X26" s="40">
        <f aca="true" t="shared" si="49" ref="X26:AC26">SUM(X91)</f>
        <v>7646</v>
      </c>
      <c r="Y26" s="41">
        <f t="shared" si="49"/>
        <v>7694.900000000001</v>
      </c>
      <c r="Z26" s="39">
        <f t="shared" si="49"/>
        <v>7653.400000000001</v>
      </c>
      <c r="AA26" s="40">
        <f t="shared" si="49"/>
        <v>7481.299999999999</v>
      </c>
      <c r="AB26" s="40">
        <f t="shared" si="49"/>
        <v>7312.099999999999</v>
      </c>
      <c r="AC26" s="41">
        <f t="shared" si="49"/>
        <v>7260.699999999999</v>
      </c>
      <c r="AD26" s="39">
        <f aca="true" t="shared" si="50" ref="AD26:AI26">SUM(AD91)</f>
        <v>7308.4</v>
      </c>
      <c r="AE26" s="40">
        <f t="shared" si="50"/>
        <v>7253.400000000001</v>
      </c>
      <c r="AF26" s="40">
        <f t="shared" si="50"/>
        <v>7408</v>
      </c>
      <c r="AG26" s="41">
        <f t="shared" si="50"/>
        <v>7724.6</v>
      </c>
      <c r="AH26" s="40">
        <f t="shared" si="50"/>
        <v>7532.400000000001</v>
      </c>
      <c r="AI26" s="40">
        <f t="shared" si="50"/>
        <v>7461.1</v>
      </c>
      <c r="AJ26" s="40">
        <f>SUM(AJ91)</f>
        <v>7489.6</v>
      </c>
      <c r="AK26" s="41">
        <f>SUM(AK91)</f>
        <v>7724</v>
      </c>
      <c r="AL26" s="40">
        <f>SUM(AL91)</f>
        <v>7693.5</v>
      </c>
      <c r="AM26" s="40">
        <f>SUM(AM91)</f>
        <v>7653.400000000001</v>
      </c>
      <c r="AN26" s="40">
        <v>7466.9</v>
      </c>
      <c r="AO26" s="41">
        <v>7326</v>
      </c>
      <c r="AP26" s="40">
        <v>7065.2</v>
      </c>
      <c r="AQ26" s="40">
        <f>SUM(AQ91)</f>
        <v>6822.3</v>
      </c>
    </row>
    <row r="27" spans="1:43" ht="12.75">
      <c r="A27" s="89"/>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40"/>
      <c r="AI27" s="40"/>
      <c r="AJ27" s="40"/>
      <c r="AK27" s="41"/>
      <c r="AL27" s="40"/>
      <c r="AM27" s="40"/>
      <c r="AN27" s="40"/>
      <c r="AO27" s="41"/>
      <c r="AP27" s="40"/>
      <c r="AQ27" s="40"/>
    </row>
    <row r="28" spans="1:43" s="12" customFormat="1" ht="12">
      <c r="A28" s="194" t="s">
        <v>131</v>
      </c>
      <c r="B28" s="195"/>
      <c r="C28" s="196"/>
      <c r="D28" s="196"/>
      <c r="E28" s="196"/>
      <c r="F28" s="195"/>
      <c r="G28" s="196"/>
      <c r="H28" s="196"/>
      <c r="I28" s="197"/>
      <c r="J28" s="195"/>
      <c r="K28" s="196"/>
      <c r="L28" s="196"/>
      <c r="M28" s="197"/>
      <c r="N28" s="195"/>
      <c r="O28" s="196"/>
      <c r="P28" s="196"/>
      <c r="Q28" s="197"/>
      <c r="R28" s="195"/>
      <c r="S28" s="196"/>
      <c r="T28" s="196"/>
      <c r="U28" s="197"/>
      <c r="V28" s="195"/>
      <c r="W28" s="196"/>
      <c r="X28" s="196"/>
      <c r="Y28" s="197"/>
      <c r="Z28" s="195"/>
      <c r="AA28" s="196"/>
      <c r="AB28" s="196"/>
      <c r="AC28" s="197"/>
      <c r="AD28" s="195"/>
      <c r="AE28" s="196"/>
      <c r="AF28" s="196"/>
      <c r="AG28" s="197"/>
      <c r="AH28" s="196"/>
      <c r="AI28" s="196"/>
      <c r="AJ28" s="196"/>
      <c r="AK28" s="197"/>
      <c r="AL28" s="196"/>
      <c r="AM28" s="196"/>
      <c r="AN28" s="196"/>
      <c r="AO28" s="197"/>
      <c r="AP28" s="196"/>
      <c r="AQ28" s="196"/>
    </row>
    <row r="29" spans="1:43" ht="12.75">
      <c r="A29" s="38"/>
      <c r="B29" s="39"/>
      <c r="C29" s="40"/>
      <c r="D29" s="40"/>
      <c r="E29" s="40"/>
      <c r="F29" s="39"/>
      <c r="G29" s="40"/>
      <c r="H29" s="40"/>
      <c r="I29" s="41"/>
      <c r="J29" s="39"/>
      <c r="K29" s="40"/>
      <c r="L29" s="40"/>
      <c r="M29" s="41"/>
      <c r="N29" s="39"/>
      <c r="O29" s="40"/>
      <c r="P29" s="40"/>
      <c r="Q29" s="41"/>
      <c r="R29" s="39"/>
      <c r="S29" s="40"/>
      <c r="T29" s="40"/>
      <c r="U29" s="41"/>
      <c r="V29" s="39"/>
      <c r="W29" s="40"/>
      <c r="X29" s="40"/>
      <c r="Y29" s="41"/>
      <c r="Z29" s="39"/>
      <c r="AA29" s="40"/>
      <c r="AB29" s="40"/>
      <c r="AC29" s="41"/>
      <c r="AD29" s="39"/>
      <c r="AE29" s="40"/>
      <c r="AF29" s="40"/>
      <c r="AG29" s="41"/>
      <c r="AH29" s="40"/>
      <c r="AI29" s="40"/>
      <c r="AJ29" s="40"/>
      <c r="AK29" s="41"/>
      <c r="AL29" s="40"/>
      <c r="AM29" s="40"/>
      <c r="AN29" s="40"/>
      <c r="AO29" s="41"/>
      <c r="AP29" s="40"/>
      <c r="AQ29" s="40"/>
    </row>
    <row r="30" spans="1:43" ht="12.75">
      <c r="A30" s="38" t="s">
        <v>132</v>
      </c>
      <c r="B30" s="39">
        <f>SUM(B31:B32)</f>
        <v>2175.8</v>
      </c>
      <c r="C30" s="40">
        <f aca="true" t="shared" si="51" ref="C30:W30">SUM(C31:C32)</f>
        <v>2057.5</v>
      </c>
      <c r="D30" s="40">
        <f t="shared" si="51"/>
        <v>2061.8999999999996</v>
      </c>
      <c r="E30" s="40">
        <f t="shared" si="51"/>
        <v>2232.6</v>
      </c>
      <c r="F30" s="39">
        <f>SUM(F31:F32)</f>
        <v>2461.8</v>
      </c>
      <c r="G30" s="40">
        <f t="shared" si="51"/>
        <v>2602.7</v>
      </c>
      <c r="H30" s="40">
        <f t="shared" si="51"/>
        <v>2918.7000000000003</v>
      </c>
      <c r="I30" s="41">
        <f t="shared" si="51"/>
        <v>2925.1</v>
      </c>
      <c r="J30" s="39">
        <f t="shared" si="51"/>
        <v>2866.4</v>
      </c>
      <c r="K30" s="40">
        <f t="shared" si="51"/>
        <v>2714.5</v>
      </c>
      <c r="L30" s="40">
        <f t="shared" si="51"/>
        <v>2673.4</v>
      </c>
      <c r="M30" s="41">
        <f t="shared" si="51"/>
        <v>2545.6</v>
      </c>
      <c r="N30" s="39">
        <f t="shared" si="51"/>
        <v>2369.1</v>
      </c>
      <c r="O30" s="40">
        <f t="shared" si="51"/>
        <v>2420</v>
      </c>
      <c r="P30" s="40">
        <f t="shared" si="51"/>
        <v>2428.5</v>
      </c>
      <c r="Q30" s="41">
        <f t="shared" si="51"/>
        <v>2585</v>
      </c>
      <c r="R30" s="39">
        <f t="shared" si="51"/>
        <v>2491.2</v>
      </c>
      <c r="S30" s="40">
        <f t="shared" si="51"/>
        <v>2714.1</v>
      </c>
      <c r="T30" s="40">
        <f t="shared" si="51"/>
        <v>2733.3</v>
      </c>
      <c r="U30" s="41">
        <f t="shared" si="51"/>
        <v>2821.7999999999997</v>
      </c>
      <c r="V30" s="39">
        <f t="shared" si="51"/>
        <v>1140.5000000000002</v>
      </c>
      <c r="W30" s="40">
        <f t="shared" si="51"/>
        <v>1276.1000000000001</v>
      </c>
      <c r="X30" s="40">
        <f aca="true" t="shared" si="52" ref="X30:AC30">SUM(X31:X32)</f>
        <v>1408.9999999999998</v>
      </c>
      <c r="Y30" s="41">
        <f t="shared" si="52"/>
        <v>1533.8</v>
      </c>
      <c r="Z30" s="39">
        <f t="shared" si="52"/>
        <v>1310.3999999999996</v>
      </c>
      <c r="AA30" s="40">
        <f t="shared" si="52"/>
        <v>1334.3000000000002</v>
      </c>
      <c r="AB30" s="40">
        <f t="shared" si="52"/>
        <v>1432.6000000000001</v>
      </c>
      <c r="AC30" s="41">
        <f t="shared" si="52"/>
        <v>1457.8999999999999</v>
      </c>
      <c r="AD30" s="39">
        <f aca="true" t="shared" si="53" ref="AD30:AI30">SUM(AD31:AD32)</f>
        <v>1417.9999999999998</v>
      </c>
      <c r="AE30" s="40">
        <f t="shared" si="53"/>
        <v>1641.8</v>
      </c>
      <c r="AF30" s="40">
        <f t="shared" si="53"/>
        <v>1679.9</v>
      </c>
      <c r="AG30" s="41">
        <f t="shared" si="53"/>
        <v>1778.6999999999998</v>
      </c>
      <c r="AH30" s="40">
        <f t="shared" si="53"/>
        <v>1660.3999999999999</v>
      </c>
      <c r="AI30" s="40">
        <f t="shared" si="53"/>
        <v>2070.2</v>
      </c>
      <c r="AJ30" s="40">
        <f aca="true" t="shared" si="54" ref="AJ30:AQ30">SUM(AJ31:AJ32)</f>
        <v>1921.3</v>
      </c>
      <c r="AK30" s="41">
        <f t="shared" si="54"/>
        <v>1936.1</v>
      </c>
      <c r="AL30" s="40">
        <f t="shared" si="54"/>
        <v>1787.1000000000001</v>
      </c>
      <c r="AM30" s="40">
        <f t="shared" si="54"/>
        <v>1866</v>
      </c>
      <c r="AN30" s="40">
        <f t="shared" si="54"/>
        <v>1563.5</v>
      </c>
      <c r="AO30" s="41">
        <f t="shared" si="54"/>
        <v>1879</v>
      </c>
      <c r="AP30" s="40">
        <f t="shared" si="54"/>
        <v>1917.8</v>
      </c>
      <c r="AQ30" s="40">
        <f t="shared" si="54"/>
        <v>2076.4</v>
      </c>
    </row>
    <row r="31" spans="1:43" s="116" customFormat="1" ht="12.75">
      <c r="A31" s="56" t="s">
        <v>133</v>
      </c>
      <c r="B31" s="57">
        <v>454.3</v>
      </c>
      <c r="C31" s="58">
        <v>436.3</v>
      </c>
      <c r="D31" s="58">
        <v>432</v>
      </c>
      <c r="E31" s="58">
        <v>379</v>
      </c>
      <c r="F31" s="57">
        <v>452.4</v>
      </c>
      <c r="G31" s="58">
        <v>520</v>
      </c>
      <c r="H31" s="58">
        <v>399.4</v>
      </c>
      <c r="I31" s="59">
        <v>382.7</v>
      </c>
      <c r="J31" s="57">
        <v>369.1</v>
      </c>
      <c r="K31" s="58">
        <v>354.5</v>
      </c>
      <c r="L31" s="58">
        <v>414.3</v>
      </c>
      <c r="M31" s="59">
        <v>381.1</v>
      </c>
      <c r="N31" s="57">
        <v>332.8</v>
      </c>
      <c r="O31" s="58">
        <v>369</v>
      </c>
      <c r="P31" s="58">
        <v>408.6</v>
      </c>
      <c r="Q31" s="59">
        <v>434.8</v>
      </c>
      <c r="R31" s="57">
        <v>438.1</v>
      </c>
      <c r="S31" s="58">
        <v>501.9</v>
      </c>
      <c r="T31" s="58">
        <v>548.2</v>
      </c>
      <c r="U31" s="59">
        <v>4.7</v>
      </c>
      <c r="V31" s="57">
        <v>18.700000000000045</v>
      </c>
      <c r="W31" s="58">
        <v>32.700000000000045</v>
      </c>
      <c r="X31" s="58">
        <v>46.299999999999955</v>
      </c>
      <c r="Y31" s="59">
        <v>127.90000000000009</v>
      </c>
      <c r="Z31" s="57">
        <v>40.80000000000007</v>
      </c>
      <c r="AA31" s="58">
        <v>32</v>
      </c>
      <c r="AB31" s="58">
        <v>110.20000000000005</v>
      </c>
      <c r="AC31" s="59">
        <v>66.79999999999995</v>
      </c>
      <c r="AD31" s="57">
        <v>46.7</v>
      </c>
      <c r="AE31" s="58">
        <v>60.700000000000045</v>
      </c>
      <c r="AF31" s="58">
        <v>71.59999999999991</v>
      </c>
      <c r="AG31" s="59">
        <v>584.5999999999999</v>
      </c>
      <c r="AH31" s="58">
        <v>63.899999999999864</v>
      </c>
      <c r="AI31" s="58">
        <v>219.9</v>
      </c>
      <c r="AJ31" s="58">
        <v>164.1</v>
      </c>
      <c r="AK31" s="59">
        <v>157.3</v>
      </c>
      <c r="AL31" s="58">
        <v>166.7</v>
      </c>
      <c r="AM31" s="58">
        <v>392.5</v>
      </c>
      <c r="AN31" s="58">
        <v>258.4</v>
      </c>
      <c r="AO31" s="59">
        <v>376.3</v>
      </c>
      <c r="AP31" s="58">
        <v>592</v>
      </c>
      <c r="AQ31" s="58">
        <v>674.6</v>
      </c>
    </row>
    <row r="32" spans="1:43" s="116" customFormat="1" ht="12.75">
      <c r="A32" s="56" t="s">
        <v>134</v>
      </c>
      <c r="B32" s="57">
        <f>1716.3+5.2</f>
        <v>1721.5</v>
      </c>
      <c r="C32" s="58">
        <f>1617.2+4</f>
        <v>1621.2</v>
      </c>
      <c r="D32" s="58">
        <f>1625.6+4.3</f>
        <v>1629.8999999999999</v>
      </c>
      <c r="E32" s="58">
        <v>1853.6</v>
      </c>
      <c r="F32" s="57">
        <v>2009.4</v>
      </c>
      <c r="G32" s="58">
        <v>2082.7</v>
      </c>
      <c r="H32" s="58">
        <v>2519.3</v>
      </c>
      <c r="I32" s="59">
        <v>2542.4</v>
      </c>
      <c r="J32" s="57">
        <v>2497.3</v>
      </c>
      <c r="K32" s="58">
        <v>2360</v>
      </c>
      <c r="L32" s="58">
        <v>2259.1</v>
      </c>
      <c r="M32" s="59">
        <v>2164.5</v>
      </c>
      <c r="N32" s="57">
        <v>2036.3</v>
      </c>
      <c r="O32" s="58">
        <v>2051</v>
      </c>
      <c r="P32" s="58">
        <v>2019.9</v>
      </c>
      <c r="Q32" s="59">
        <v>2150.2</v>
      </c>
      <c r="R32" s="57">
        <v>2053.1</v>
      </c>
      <c r="S32" s="58">
        <v>2212.2</v>
      </c>
      <c r="T32" s="58">
        <v>2185.1</v>
      </c>
      <c r="U32" s="59">
        <v>2817.1</v>
      </c>
      <c r="V32" s="57">
        <v>1121.8000000000002</v>
      </c>
      <c r="W32" s="58">
        <v>1243.4</v>
      </c>
      <c r="X32" s="58">
        <v>1362.6999999999998</v>
      </c>
      <c r="Y32" s="59">
        <v>1405.8999999999999</v>
      </c>
      <c r="Z32" s="57">
        <v>1269.5999999999997</v>
      </c>
      <c r="AA32" s="58">
        <v>1302.3000000000002</v>
      </c>
      <c r="AB32" s="58">
        <v>1322.4</v>
      </c>
      <c r="AC32" s="59">
        <v>1391.1</v>
      </c>
      <c r="AD32" s="57">
        <v>1371.2999999999997</v>
      </c>
      <c r="AE32" s="58">
        <v>1581.1</v>
      </c>
      <c r="AF32" s="58">
        <v>1608.3000000000002</v>
      </c>
      <c r="AG32" s="59">
        <v>1194.1</v>
      </c>
      <c r="AH32" s="58">
        <v>1596.5</v>
      </c>
      <c r="AI32" s="58">
        <v>1850.3</v>
      </c>
      <c r="AJ32" s="58">
        <v>1757.2</v>
      </c>
      <c r="AK32" s="59">
        <v>1778.8</v>
      </c>
      <c r="AL32" s="58">
        <v>1620.4</v>
      </c>
      <c r="AM32" s="58">
        <v>1473.5</v>
      </c>
      <c r="AN32" s="58">
        <v>1305.1</v>
      </c>
      <c r="AO32" s="59">
        <v>1502.7</v>
      </c>
      <c r="AP32" s="58">
        <v>1325.8</v>
      </c>
      <c r="AQ32" s="58">
        <v>1401.8</v>
      </c>
    </row>
    <row r="33" spans="1:43" ht="12.75">
      <c r="A33" s="38" t="s">
        <v>123</v>
      </c>
      <c r="B33" s="39">
        <v>0</v>
      </c>
      <c r="C33" s="40">
        <v>0</v>
      </c>
      <c r="D33" s="40">
        <v>0</v>
      </c>
      <c r="E33" s="40">
        <v>0</v>
      </c>
      <c r="F33" s="39">
        <v>0</v>
      </c>
      <c r="G33" s="40">
        <v>0</v>
      </c>
      <c r="H33" s="40">
        <v>0</v>
      </c>
      <c r="I33" s="41">
        <v>0</v>
      </c>
      <c r="J33" s="39">
        <v>0</v>
      </c>
      <c r="K33" s="40">
        <v>0</v>
      </c>
      <c r="L33" s="40">
        <v>0</v>
      </c>
      <c r="M33" s="41">
        <v>0</v>
      </c>
      <c r="N33" s="39">
        <v>0</v>
      </c>
      <c r="O33" s="40">
        <v>0</v>
      </c>
      <c r="P33" s="40">
        <v>0</v>
      </c>
      <c r="Q33" s="41">
        <v>0</v>
      </c>
      <c r="R33" s="39">
        <v>0</v>
      </c>
      <c r="S33" s="40">
        <v>0</v>
      </c>
      <c r="T33" s="40">
        <v>0</v>
      </c>
      <c r="U33" s="41">
        <v>0</v>
      </c>
      <c r="V33" s="39">
        <v>0.1</v>
      </c>
      <c r="W33" s="40">
        <v>0</v>
      </c>
      <c r="X33" s="40">
        <v>0.6</v>
      </c>
      <c r="Y33" s="41">
        <v>0.6</v>
      </c>
      <c r="Z33" s="39">
        <v>0.4</v>
      </c>
      <c r="AA33" s="40">
        <v>0.6</v>
      </c>
      <c r="AB33" s="40">
        <v>0.6</v>
      </c>
      <c r="AC33" s="41">
        <v>0.4</v>
      </c>
      <c r="AD33" s="39">
        <v>0.6</v>
      </c>
      <c r="AE33" s="40">
        <v>0.5</v>
      </c>
      <c r="AF33" s="40">
        <v>0.5</v>
      </c>
      <c r="AG33" s="41">
        <v>0.8</v>
      </c>
      <c r="AH33" s="40">
        <v>0.7</v>
      </c>
      <c r="AI33" s="40">
        <v>0.8</v>
      </c>
      <c r="AJ33" s="40">
        <v>11</v>
      </c>
      <c r="AK33" s="41">
        <v>0.7</v>
      </c>
      <c r="AL33" s="40">
        <v>0.6</v>
      </c>
      <c r="AM33" s="40">
        <v>0.4</v>
      </c>
      <c r="AN33" s="40">
        <v>0.6</v>
      </c>
      <c r="AO33" s="41">
        <v>0.6</v>
      </c>
      <c r="AP33" s="40">
        <v>0.6</v>
      </c>
      <c r="AQ33" s="40">
        <v>0.5</v>
      </c>
    </row>
    <row r="34" spans="1:43" ht="12.75">
      <c r="A34" s="38" t="s">
        <v>124</v>
      </c>
      <c r="B34" s="39">
        <v>0</v>
      </c>
      <c r="C34" s="40">
        <v>0</v>
      </c>
      <c r="D34" s="40">
        <v>0</v>
      </c>
      <c r="E34" s="40">
        <v>0</v>
      </c>
      <c r="F34" s="39">
        <v>0</v>
      </c>
      <c r="G34" s="40">
        <v>0</v>
      </c>
      <c r="H34" s="40">
        <v>0</v>
      </c>
      <c r="I34" s="41">
        <v>0</v>
      </c>
      <c r="J34" s="39">
        <v>0</v>
      </c>
      <c r="K34" s="40">
        <v>0</v>
      </c>
      <c r="L34" s="40">
        <v>0</v>
      </c>
      <c r="M34" s="41">
        <v>0</v>
      </c>
      <c r="N34" s="39">
        <v>0</v>
      </c>
      <c r="O34" s="40">
        <v>0</v>
      </c>
      <c r="P34" s="40">
        <v>0</v>
      </c>
      <c r="Q34" s="41">
        <v>0</v>
      </c>
      <c r="R34" s="39">
        <v>0</v>
      </c>
      <c r="S34" s="40">
        <v>0</v>
      </c>
      <c r="T34" s="40">
        <v>0</v>
      </c>
      <c r="U34" s="41">
        <v>0</v>
      </c>
      <c r="V34" s="39">
        <v>0</v>
      </c>
      <c r="W34" s="40">
        <v>0</v>
      </c>
      <c r="X34" s="40">
        <v>3.5</v>
      </c>
      <c r="Y34" s="41">
        <v>0</v>
      </c>
      <c r="Z34" s="39">
        <v>4.5</v>
      </c>
      <c r="AA34" s="40">
        <v>0</v>
      </c>
      <c r="AB34" s="40">
        <v>0</v>
      </c>
      <c r="AC34" s="41">
        <v>0</v>
      </c>
      <c r="AD34" s="39">
        <v>0</v>
      </c>
      <c r="AE34" s="40">
        <v>0</v>
      </c>
      <c r="AF34" s="40">
        <v>0</v>
      </c>
      <c r="AG34" s="41">
        <v>0</v>
      </c>
      <c r="AH34" s="40">
        <v>0</v>
      </c>
      <c r="AI34" s="40">
        <v>4</v>
      </c>
      <c r="AJ34" s="40">
        <v>7.5</v>
      </c>
      <c r="AK34" s="41">
        <v>21.1</v>
      </c>
      <c r="AL34" s="40">
        <v>20.4</v>
      </c>
      <c r="AM34" s="40">
        <v>20.4</v>
      </c>
      <c r="AN34" s="40">
        <v>0.5</v>
      </c>
      <c r="AO34" s="41">
        <v>0.5</v>
      </c>
      <c r="AP34" s="40">
        <v>0.1</v>
      </c>
      <c r="AQ34" s="40">
        <v>0</v>
      </c>
    </row>
    <row r="35" spans="1:43" s="4" customFormat="1" ht="12.75">
      <c r="A35" s="38" t="s">
        <v>343</v>
      </c>
      <c r="B35" s="39">
        <v>0</v>
      </c>
      <c r="C35" s="40">
        <v>0</v>
      </c>
      <c r="D35" s="40">
        <v>0</v>
      </c>
      <c r="E35" s="40">
        <v>0</v>
      </c>
      <c r="F35" s="39">
        <v>0</v>
      </c>
      <c r="G35" s="40">
        <v>0</v>
      </c>
      <c r="H35" s="40">
        <v>0</v>
      </c>
      <c r="I35" s="41">
        <v>0</v>
      </c>
      <c r="J35" s="39">
        <v>0</v>
      </c>
      <c r="K35" s="40">
        <v>0</v>
      </c>
      <c r="L35" s="40">
        <v>0</v>
      </c>
      <c r="M35" s="41">
        <v>0</v>
      </c>
      <c r="N35" s="39">
        <v>0</v>
      </c>
      <c r="O35" s="40">
        <v>0</v>
      </c>
      <c r="P35" s="40">
        <v>0</v>
      </c>
      <c r="Q35" s="41">
        <v>0</v>
      </c>
      <c r="R35" s="39">
        <v>0</v>
      </c>
      <c r="S35" s="40">
        <v>0</v>
      </c>
      <c r="T35" s="40">
        <v>0</v>
      </c>
      <c r="U35" s="41">
        <v>0</v>
      </c>
      <c r="V35" s="39">
        <v>0</v>
      </c>
      <c r="W35" s="40">
        <v>0</v>
      </c>
      <c r="X35" s="40">
        <v>0</v>
      </c>
      <c r="Y35" s="41">
        <v>0</v>
      </c>
      <c r="Z35" s="39">
        <v>0</v>
      </c>
      <c r="AA35" s="40">
        <v>0</v>
      </c>
      <c r="AB35" s="40">
        <v>0</v>
      </c>
      <c r="AC35" s="41">
        <v>0</v>
      </c>
      <c r="AD35" s="39">
        <v>0</v>
      </c>
      <c r="AE35" s="40">
        <v>0</v>
      </c>
      <c r="AF35" s="40">
        <v>0</v>
      </c>
      <c r="AG35" s="41">
        <v>0</v>
      </c>
      <c r="AH35" s="40">
        <v>0</v>
      </c>
      <c r="AI35" s="40">
        <v>0</v>
      </c>
      <c r="AJ35" s="40">
        <v>0</v>
      </c>
      <c r="AK35" s="41">
        <v>384.5</v>
      </c>
      <c r="AL35" s="40">
        <v>386.5</v>
      </c>
      <c r="AM35" s="40">
        <v>386.5</v>
      </c>
      <c r="AN35" s="40">
        <v>386.5</v>
      </c>
      <c r="AO35" s="41">
        <v>386.6</v>
      </c>
      <c r="AP35" s="40">
        <v>386.5</v>
      </c>
      <c r="AQ35" s="40">
        <v>386.6</v>
      </c>
    </row>
    <row r="36" spans="1:43" s="4" customFormat="1" ht="12.75">
      <c r="A36" s="38" t="s">
        <v>125</v>
      </c>
      <c r="B36" s="39">
        <v>81.9</v>
      </c>
      <c r="C36" s="40">
        <f>69.7</f>
        <v>69.7</v>
      </c>
      <c r="D36" s="40">
        <f>68.3</f>
        <v>68.3</v>
      </c>
      <c r="E36" s="40">
        <v>110</v>
      </c>
      <c r="F36" s="39">
        <v>95.1</v>
      </c>
      <c r="G36" s="40">
        <v>103.1</v>
      </c>
      <c r="H36" s="40">
        <v>153.5</v>
      </c>
      <c r="I36" s="41">
        <v>98.2</v>
      </c>
      <c r="J36" s="39">
        <v>103.9</v>
      </c>
      <c r="K36" s="40">
        <v>120.6</v>
      </c>
      <c r="L36" s="40">
        <v>138.3</v>
      </c>
      <c r="M36" s="41">
        <v>151.4</v>
      </c>
      <c r="N36" s="39">
        <v>145.6</v>
      </c>
      <c r="O36" s="40">
        <v>129.6</v>
      </c>
      <c r="P36" s="40">
        <v>153.7</v>
      </c>
      <c r="Q36" s="41">
        <v>83.2</v>
      </c>
      <c r="R36" s="39">
        <v>175.1</v>
      </c>
      <c r="S36" s="40">
        <v>154.8</v>
      </c>
      <c r="T36" s="40">
        <v>140.2</v>
      </c>
      <c r="U36" s="41">
        <v>87.4</v>
      </c>
      <c r="V36" s="39">
        <v>108.7</v>
      </c>
      <c r="W36" s="40">
        <v>101.7</v>
      </c>
      <c r="X36" s="40">
        <v>112.80000000000001</v>
      </c>
      <c r="Y36" s="41">
        <v>111.60000000000001</v>
      </c>
      <c r="Z36" s="39">
        <v>90.8</v>
      </c>
      <c r="AA36" s="40">
        <v>87.2</v>
      </c>
      <c r="AB36" s="40">
        <v>98</v>
      </c>
      <c r="AC36" s="41">
        <v>110.60000000000001</v>
      </c>
      <c r="AD36" s="39">
        <v>127.80000000000001</v>
      </c>
      <c r="AE36" s="40">
        <v>92.4</v>
      </c>
      <c r="AF36" s="40">
        <v>100.89999999999999</v>
      </c>
      <c r="AG36" s="41">
        <v>90.8</v>
      </c>
      <c r="AH36" s="40">
        <v>90.3</v>
      </c>
      <c r="AI36" s="40">
        <v>123.3</v>
      </c>
      <c r="AJ36" s="40">
        <v>78</v>
      </c>
      <c r="AK36" s="41">
        <v>168.3</v>
      </c>
      <c r="AL36" s="40">
        <v>113.1</v>
      </c>
      <c r="AM36" s="40">
        <v>63.1</v>
      </c>
      <c r="AN36" s="40">
        <v>115.2</v>
      </c>
      <c r="AO36" s="41">
        <v>81.6</v>
      </c>
      <c r="AP36" s="40">
        <v>69.4</v>
      </c>
      <c r="AQ36" s="40">
        <v>62.7</v>
      </c>
    </row>
    <row r="37" spans="1:43" s="317" customFormat="1" ht="12">
      <c r="A37" s="10" t="s">
        <v>135</v>
      </c>
      <c r="B37" s="202">
        <f aca="true" t="shared" si="55" ref="B37:AA37">B30+B33+B34+B36</f>
        <v>2257.7000000000003</v>
      </c>
      <c r="C37" s="203">
        <f t="shared" si="55"/>
        <v>2127.2</v>
      </c>
      <c r="D37" s="203">
        <f t="shared" si="55"/>
        <v>2130.2</v>
      </c>
      <c r="E37" s="203">
        <f t="shared" si="55"/>
        <v>2342.6</v>
      </c>
      <c r="F37" s="202">
        <f t="shared" si="55"/>
        <v>2556.9</v>
      </c>
      <c r="G37" s="203">
        <f t="shared" si="55"/>
        <v>2705.7999999999997</v>
      </c>
      <c r="H37" s="203">
        <f t="shared" si="55"/>
        <v>3072.2000000000003</v>
      </c>
      <c r="I37" s="204">
        <f t="shared" si="55"/>
        <v>3023.2999999999997</v>
      </c>
      <c r="J37" s="202">
        <f t="shared" si="55"/>
        <v>2970.3</v>
      </c>
      <c r="K37" s="203">
        <f t="shared" si="55"/>
        <v>2835.1</v>
      </c>
      <c r="L37" s="203">
        <f t="shared" si="55"/>
        <v>2811.7000000000003</v>
      </c>
      <c r="M37" s="204">
        <f t="shared" si="55"/>
        <v>2697</v>
      </c>
      <c r="N37" s="202">
        <f t="shared" si="55"/>
        <v>2514.7</v>
      </c>
      <c r="O37" s="203">
        <f t="shared" si="55"/>
        <v>2549.6</v>
      </c>
      <c r="P37" s="203">
        <f t="shared" si="55"/>
        <v>2582.2</v>
      </c>
      <c r="Q37" s="204">
        <f t="shared" si="55"/>
        <v>2668.2</v>
      </c>
      <c r="R37" s="202">
        <f t="shared" si="55"/>
        <v>2666.2999999999997</v>
      </c>
      <c r="S37" s="203">
        <f t="shared" si="55"/>
        <v>2868.9</v>
      </c>
      <c r="T37" s="203">
        <f t="shared" si="55"/>
        <v>2873.5</v>
      </c>
      <c r="U37" s="204">
        <f t="shared" si="55"/>
        <v>2909.2</v>
      </c>
      <c r="V37" s="202">
        <f t="shared" si="55"/>
        <v>1249.3000000000002</v>
      </c>
      <c r="W37" s="203">
        <f t="shared" si="55"/>
        <v>1377.8000000000002</v>
      </c>
      <c r="X37" s="203">
        <f t="shared" si="55"/>
        <v>1525.8999999999996</v>
      </c>
      <c r="Y37" s="204">
        <f t="shared" si="55"/>
        <v>1645.9999999999998</v>
      </c>
      <c r="Z37" s="202">
        <f t="shared" si="55"/>
        <v>1406.0999999999997</v>
      </c>
      <c r="AA37" s="203">
        <f t="shared" si="55"/>
        <v>1422.1000000000001</v>
      </c>
      <c r="AB37" s="203">
        <f aca="true" t="shared" si="56" ref="AB37:AG37">AB30+AB33+AB34+AB36</f>
        <v>1531.2</v>
      </c>
      <c r="AC37" s="204">
        <f t="shared" si="56"/>
        <v>1568.8999999999999</v>
      </c>
      <c r="AD37" s="202">
        <f t="shared" si="56"/>
        <v>1546.3999999999996</v>
      </c>
      <c r="AE37" s="203">
        <f t="shared" si="56"/>
        <v>1734.7</v>
      </c>
      <c r="AF37" s="203">
        <f t="shared" si="56"/>
        <v>1781.3000000000002</v>
      </c>
      <c r="AG37" s="204">
        <f t="shared" si="56"/>
        <v>1870.2999999999997</v>
      </c>
      <c r="AH37" s="203">
        <f>AH30+AH33+AH34+AH36</f>
        <v>1751.3999999999999</v>
      </c>
      <c r="AI37" s="203">
        <f>AI30+AI33+AI34+AI36</f>
        <v>2198.3</v>
      </c>
      <c r="AJ37" s="203">
        <f>AJ30+AJ33+AJ34+AJ36</f>
        <v>2017.8</v>
      </c>
      <c r="AK37" s="204">
        <f aca="true" t="shared" si="57" ref="AK37:AQ37">AK30+AK33+AK34+AK36+AK35</f>
        <v>2510.7</v>
      </c>
      <c r="AL37" s="203">
        <f t="shared" si="57"/>
        <v>2307.7</v>
      </c>
      <c r="AM37" s="203">
        <f t="shared" si="57"/>
        <v>2336.4</v>
      </c>
      <c r="AN37" s="203">
        <f t="shared" si="57"/>
        <v>2066.3</v>
      </c>
      <c r="AO37" s="204">
        <f t="shared" si="57"/>
        <v>2348.2999999999997</v>
      </c>
      <c r="AP37" s="203">
        <f t="shared" si="57"/>
        <v>2374.3999999999996</v>
      </c>
      <c r="AQ37" s="203">
        <f t="shared" si="57"/>
        <v>2526.2</v>
      </c>
    </row>
    <row r="38" spans="1:43" s="4" customFormat="1" ht="12.75">
      <c r="A38" s="38" t="s">
        <v>127</v>
      </c>
      <c r="B38" s="39">
        <f aca="true" t="shared" si="58" ref="B38:W38">SUM(B39:B40)</f>
        <v>-7.6</v>
      </c>
      <c r="C38" s="40">
        <f t="shared" si="58"/>
        <v>-4.7</v>
      </c>
      <c r="D38" s="40">
        <f t="shared" si="58"/>
        <v>-4.5</v>
      </c>
      <c r="E38" s="40">
        <f t="shared" si="58"/>
        <v>-5.8</v>
      </c>
      <c r="F38" s="39">
        <f t="shared" si="58"/>
        <v>-5.7</v>
      </c>
      <c r="G38" s="40">
        <f t="shared" si="58"/>
        <v>-3.6</v>
      </c>
      <c r="H38" s="40">
        <f t="shared" si="58"/>
        <v>-3.2</v>
      </c>
      <c r="I38" s="41">
        <f t="shared" si="58"/>
        <v>-2</v>
      </c>
      <c r="J38" s="39">
        <f t="shared" si="58"/>
        <v>-2.1</v>
      </c>
      <c r="K38" s="40">
        <f t="shared" si="58"/>
        <v>-1.8</v>
      </c>
      <c r="L38" s="40">
        <f t="shared" si="58"/>
        <v>-2.2</v>
      </c>
      <c r="M38" s="41">
        <f t="shared" si="58"/>
        <v>-1.8</v>
      </c>
      <c r="N38" s="39">
        <f t="shared" si="58"/>
        <v>-1.7</v>
      </c>
      <c r="O38" s="40">
        <f t="shared" si="58"/>
        <v>-1.7</v>
      </c>
      <c r="P38" s="40">
        <f t="shared" si="58"/>
        <v>-2.1</v>
      </c>
      <c r="Q38" s="41">
        <f t="shared" si="58"/>
        <v>-1.9</v>
      </c>
      <c r="R38" s="39">
        <f t="shared" si="58"/>
        <v>-1.4</v>
      </c>
      <c r="S38" s="40">
        <f t="shared" si="58"/>
        <v>-0.2</v>
      </c>
      <c r="T38" s="40">
        <f t="shared" si="58"/>
        <v>-0.3</v>
      </c>
      <c r="U38" s="41">
        <f t="shared" si="58"/>
        <v>-0.3</v>
      </c>
      <c r="V38" s="39">
        <f t="shared" si="58"/>
        <v>-0.4</v>
      </c>
      <c r="W38" s="40">
        <f t="shared" si="58"/>
        <v>-0.7</v>
      </c>
      <c r="X38" s="40">
        <f aca="true" t="shared" si="59" ref="X38:AC38">SUM(X39:X40)</f>
        <v>-0.4</v>
      </c>
      <c r="Y38" s="41">
        <f t="shared" si="59"/>
        <v>-0.6</v>
      </c>
      <c r="Z38" s="39">
        <f t="shared" si="59"/>
        <v>-0.2</v>
      </c>
      <c r="AA38" s="40">
        <f t="shared" si="59"/>
        <v>-0.3</v>
      </c>
      <c r="AB38" s="40">
        <f t="shared" si="59"/>
        <v>-0.2</v>
      </c>
      <c r="AC38" s="41">
        <f t="shared" si="59"/>
        <v>-0.8</v>
      </c>
      <c r="AD38" s="39">
        <f aca="true" t="shared" si="60" ref="AD38:AI38">SUM(AD39:AD40)</f>
        <v>-2.3</v>
      </c>
      <c r="AE38" s="40">
        <f t="shared" si="60"/>
        <v>-1.5</v>
      </c>
      <c r="AF38" s="40">
        <f t="shared" si="60"/>
        <v>-0.9</v>
      </c>
      <c r="AG38" s="41">
        <f t="shared" si="60"/>
        <v>-1.2000000000000002</v>
      </c>
      <c r="AH38" s="40">
        <f t="shared" si="60"/>
        <v>-0.7</v>
      </c>
      <c r="AI38" s="40">
        <f t="shared" si="60"/>
        <v>-0.9</v>
      </c>
      <c r="AJ38" s="40">
        <f aca="true" t="shared" si="61" ref="AJ38:AQ38">SUM(AJ39:AJ40)</f>
        <v>-0.6</v>
      </c>
      <c r="AK38" s="41">
        <f t="shared" si="61"/>
        <v>-0.7</v>
      </c>
      <c r="AL38" s="40">
        <f t="shared" si="61"/>
        <v>-1.1</v>
      </c>
      <c r="AM38" s="40">
        <f t="shared" si="61"/>
        <v>-0.6</v>
      </c>
      <c r="AN38" s="40">
        <f t="shared" si="61"/>
        <v>-0.9</v>
      </c>
      <c r="AO38" s="41">
        <f t="shared" si="61"/>
        <v>-1</v>
      </c>
      <c r="AP38" s="40">
        <f t="shared" si="61"/>
        <v>-0.7999999999999999</v>
      </c>
      <c r="AQ38" s="40">
        <f t="shared" si="61"/>
        <v>-0.7999999999999999</v>
      </c>
    </row>
    <row r="39" spans="1:43" s="7" customFormat="1" ht="12.75">
      <c r="A39" s="140" t="s">
        <v>128</v>
      </c>
      <c r="B39" s="57">
        <v>-7.6</v>
      </c>
      <c r="C39" s="58">
        <v>-4.7</v>
      </c>
      <c r="D39" s="58">
        <v>-4.5</v>
      </c>
      <c r="E39" s="58">
        <v>-5.8</v>
      </c>
      <c r="F39" s="57">
        <v>-5.7</v>
      </c>
      <c r="G39" s="58">
        <v>-3.6</v>
      </c>
      <c r="H39" s="58">
        <v>-3.2</v>
      </c>
      <c r="I39" s="59">
        <v>-2</v>
      </c>
      <c r="J39" s="57">
        <v>-2.1</v>
      </c>
      <c r="K39" s="58">
        <v>-1.8</v>
      </c>
      <c r="L39" s="58">
        <v>-2.2</v>
      </c>
      <c r="M39" s="59">
        <v>-1.8</v>
      </c>
      <c r="N39" s="57">
        <v>-1.7</v>
      </c>
      <c r="O39" s="58">
        <v>-1.7</v>
      </c>
      <c r="P39" s="58">
        <v>-2.1</v>
      </c>
      <c r="Q39" s="59">
        <v>-1.9</v>
      </c>
      <c r="R39" s="57">
        <v>-1.4</v>
      </c>
      <c r="S39" s="58">
        <v>-0.2</v>
      </c>
      <c r="T39" s="58">
        <v>-0.3</v>
      </c>
      <c r="U39" s="59">
        <v>-0.3</v>
      </c>
      <c r="V39" s="57">
        <v>-0.4</v>
      </c>
      <c r="W39" s="58">
        <v>-0.7</v>
      </c>
      <c r="X39" s="58">
        <v>-0.4</v>
      </c>
      <c r="Y39" s="59">
        <v>-0.6</v>
      </c>
      <c r="Z39" s="57">
        <v>-0.2</v>
      </c>
      <c r="AA39" s="58">
        <v>-0.3</v>
      </c>
      <c r="AB39" s="58">
        <v>-0.2</v>
      </c>
      <c r="AC39" s="59">
        <v>-0.8</v>
      </c>
      <c r="AD39" s="57">
        <v>-2.3</v>
      </c>
      <c r="AE39" s="58">
        <v>-1.5</v>
      </c>
      <c r="AF39" s="58">
        <v>-0.9</v>
      </c>
      <c r="AG39" s="59">
        <v>-1.2000000000000002</v>
      </c>
      <c r="AH39" s="58">
        <v>-0.7</v>
      </c>
      <c r="AI39" s="58">
        <v>-0.9</v>
      </c>
      <c r="AJ39" s="58">
        <v>-0.6</v>
      </c>
      <c r="AK39" s="59">
        <v>-0.6</v>
      </c>
      <c r="AL39" s="58">
        <v>-1</v>
      </c>
      <c r="AM39" s="58">
        <v>-0.5</v>
      </c>
      <c r="AN39" s="58">
        <v>-0.8</v>
      </c>
      <c r="AO39" s="59">
        <v>-0.9</v>
      </c>
      <c r="AP39" s="58">
        <v>-0.7</v>
      </c>
      <c r="AQ39" s="58">
        <v>-0.7</v>
      </c>
    </row>
    <row r="40" spans="1:43" s="7" customFormat="1" ht="12.75">
      <c r="A40" s="140" t="s">
        <v>344</v>
      </c>
      <c r="B40" s="57">
        <v>0</v>
      </c>
      <c r="C40" s="58">
        <v>0</v>
      </c>
      <c r="D40" s="58">
        <v>0</v>
      </c>
      <c r="E40" s="58">
        <v>0</v>
      </c>
      <c r="F40" s="57">
        <v>0</v>
      </c>
      <c r="G40" s="58">
        <v>0</v>
      </c>
      <c r="H40" s="58">
        <v>0</v>
      </c>
      <c r="I40" s="59">
        <v>0</v>
      </c>
      <c r="J40" s="57">
        <v>0</v>
      </c>
      <c r="K40" s="58">
        <v>0</v>
      </c>
      <c r="L40" s="58">
        <v>0</v>
      </c>
      <c r="M40" s="59">
        <v>0</v>
      </c>
      <c r="N40" s="57">
        <v>0</v>
      </c>
      <c r="O40" s="58">
        <v>0</v>
      </c>
      <c r="P40" s="58">
        <v>0</v>
      </c>
      <c r="Q40" s="59">
        <v>0</v>
      </c>
      <c r="R40" s="57">
        <v>0</v>
      </c>
      <c r="S40" s="58">
        <v>0</v>
      </c>
      <c r="T40" s="58">
        <v>0</v>
      </c>
      <c r="U40" s="59">
        <v>0</v>
      </c>
      <c r="V40" s="57">
        <v>0</v>
      </c>
      <c r="W40" s="58">
        <v>0</v>
      </c>
      <c r="X40" s="58">
        <v>0</v>
      </c>
      <c r="Y40" s="59">
        <v>0</v>
      </c>
      <c r="Z40" s="57">
        <v>0</v>
      </c>
      <c r="AA40" s="58">
        <v>0</v>
      </c>
      <c r="AB40" s="58">
        <v>0</v>
      </c>
      <c r="AC40" s="59">
        <v>0</v>
      </c>
      <c r="AD40" s="57">
        <v>0</v>
      </c>
      <c r="AE40" s="58">
        <v>0</v>
      </c>
      <c r="AF40" s="58">
        <v>0</v>
      </c>
      <c r="AG40" s="59">
        <v>0</v>
      </c>
      <c r="AH40" s="58">
        <v>0</v>
      </c>
      <c r="AI40" s="58">
        <v>0</v>
      </c>
      <c r="AJ40" s="58">
        <v>0</v>
      </c>
      <c r="AK40" s="59">
        <v>-0.1</v>
      </c>
      <c r="AL40" s="58">
        <v>-0.1</v>
      </c>
      <c r="AM40" s="58">
        <v>-0.1</v>
      </c>
      <c r="AN40" s="58">
        <v>-0.1</v>
      </c>
      <c r="AO40" s="59">
        <v>-0.1</v>
      </c>
      <c r="AP40" s="58">
        <v>-0.1</v>
      </c>
      <c r="AQ40" s="58">
        <v>-0.1</v>
      </c>
    </row>
    <row r="41" spans="1:43" s="13" customFormat="1" ht="12.75">
      <c r="A41" s="98" t="s">
        <v>136</v>
      </c>
      <c r="B41" s="93">
        <f aca="true" t="shared" si="62" ref="B41:W41">B37+B38</f>
        <v>2250.1000000000004</v>
      </c>
      <c r="C41" s="94">
        <f t="shared" si="62"/>
        <v>2122.5</v>
      </c>
      <c r="D41" s="94">
        <f t="shared" si="62"/>
        <v>2125.7</v>
      </c>
      <c r="E41" s="94">
        <f t="shared" si="62"/>
        <v>2336.7999999999997</v>
      </c>
      <c r="F41" s="93">
        <f t="shared" si="62"/>
        <v>2551.2000000000003</v>
      </c>
      <c r="G41" s="94">
        <f t="shared" si="62"/>
        <v>2702.2</v>
      </c>
      <c r="H41" s="94">
        <f t="shared" si="62"/>
        <v>3069.0000000000005</v>
      </c>
      <c r="I41" s="95">
        <f t="shared" si="62"/>
        <v>3021.2999999999997</v>
      </c>
      <c r="J41" s="93">
        <f t="shared" si="62"/>
        <v>2968.2000000000003</v>
      </c>
      <c r="K41" s="94">
        <f t="shared" si="62"/>
        <v>2833.2999999999997</v>
      </c>
      <c r="L41" s="94">
        <f t="shared" si="62"/>
        <v>2809.5000000000005</v>
      </c>
      <c r="M41" s="95">
        <f t="shared" si="62"/>
        <v>2695.2</v>
      </c>
      <c r="N41" s="93">
        <f t="shared" si="62"/>
        <v>2513</v>
      </c>
      <c r="O41" s="94">
        <f t="shared" si="62"/>
        <v>2547.9</v>
      </c>
      <c r="P41" s="94">
        <f t="shared" si="62"/>
        <v>2580.1</v>
      </c>
      <c r="Q41" s="95">
        <f t="shared" si="62"/>
        <v>2666.2999999999997</v>
      </c>
      <c r="R41" s="93">
        <f t="shared" si="62"/>
        <v>2664.8999999999996</v>
      </c>
      <c r="S41" s="94">
        <f t="shared" si="62"/>
        <v>2868.7000000000003</v>
      </c>
      <c r="T41" s="94">
        <f t="shared" si="62"/>
        <v>2873.2</v>
      </c>
      <c r="U41" s="95">
        <f t="shared" si="62"/>
        <v>2908.8999999999996</v>
      </c>
      <c r="V41" s="93">
        <f t="shared" si="62"/>
        <v>1248.9</v>
      </c>
      <c r="W41" s="94">
        <f t="shared" si="62"/>
        <v>1377.1000000000001</v>
      </c>
      <c r="X41" s="94">
        <f aca="true" t="shared" si="63" ref="X41:AC41">X37+X38</f>
        <v>1525.4999999999995</v>
      </c>
      <c r="Y41" s="95">
        <f t="shared" si="63"/>
        <v>1645.3999999999999</v>
      </c>
      <c r="Z41" s="93">
        <f t="shared" si="63"/>
        <v>1405.8999999999996</v>
      </c>
      <c r="AA41" s="94">
        <f t="shared" si="63"/>
        <v>1421.8000000000002</v>
      </c>
      <c r="AB41" s="94">
        <f t="shared" si="63"/>
        <v>1531</v>
      </c>
      <c r="AC41" s="95">
        <f t="shared" si="63"/>
        <v>1568.1</v>
      </c>
      <c r="AD41" s="93">
        <f aca="true" t="shared" si="64" ref="AD41:AI41">AD37+AD38</f>
        <v>1544.0999999999997</v>
      </c>
      <c r="AE41" s="94">
        <f t="shared" si="64"/>
        <v>1733.2</v>
      </c>
      <c r="AF41" s="94">
        <f t="shared" si="64"/>
        <v>1780.4</v>
      </c>
      <c r="AG41" s="95">
        <f t="shared" si="64"/>
        <v>1869.0999999999997</v>
      </c>
      <c r="AH41" s="94">
        <f t="shared" si="64"/>
        <v>1750.6999999999998</v>
      </c>
      <c r="AI41" s="94">
        <f t="shared" si="64"/>
        <v>2197.4</v>
      </c>
      <c r="AJ41" s="94">
        <f aca="true" t="shared" si="65" ref="AJ41:AQ41">AJ37+AJ38</f>
        <v>2017.2</v>
      </c>
      <c r="AK41" s="95">
        <f t="shared" si="65"/>
        <v>2510</v>
      </c>
      <c r="AL41" s="94">
        <f t="shared" si="65"/>
        <v>2306.6</v>
      </c>
      <c r="AM41" s="94">
        <f t="shared" si="65"/>
        <v>2335.8</v>
      </c>
      <c r="AN41" s="94">
        <f t="shared" si="65"/>
        <v>2065.4</v>
      </c>
      <c r="AO41" s="95">
        <f t="shared" si="65"/>
        <v>2347.2999999999997</v>
      </c>
      <c r="AP41" s="94">
        <f t="shared" si="65"/>
        <v>2373.5999999999995</v>
      </c>
      <c r="AQ41" s="94">
        <f t="shared" si="65"/>
        <v>2525.3999999999996</v>
      </c>
    </row>
    <row r="42" spans="1:43" s="4" customFormat="1" ht="12.75">
      <c r="A42" s="318"/>
      <c r="B42" s="39"/>
      <c r="C42" s="40"/>
      <c r="D42" s="40"/>
      <c r="E42" s="40"/>
      <c r="F42" s="39"/>
      <c r="G42" s="40"/>
      <c r="H42" s="40"/>
      <c r="I42" s="41"/>
      <c r="J42" s="39"/>
      <c r="K42" s="40"/>
      <c r="L42" s="40"/>
      <c r="M42" s="41"/>
      <c r="N42" s="39"/>
      <c r="O42" s="40"/>
      <c r="P42" s="40"/>
      <c r="Q42" s="41"/>
      <c r="R42" s="39"/>
      <c r="S42" s="40"/>
      <c r="T42" s="40"/>
      <c r="U42" s="41"/>
      <c r="V42" s="39"/>
      <c r="W42" s="40"/>
      <c r="X42" s="40"/>
      <c r="Y42" s="41"/>
      <c r="Z42" s="39"/>
      <c r="AA42" s="40"/>
      <c r="AB42" s="40"/>
      <c r="AC42" s="41"/>
      <c r="AD42" s="39"/>
      <c r="AE42" s="40"/>
      <c r="AF42" s="40"/>
      <c r="AG42" s="41"/>
      <c r="AH42" s="40"/>
      <c r="AI42" s="40"/>
      <c r="AJ42" s="40"/>
      <c r="AK42" s="41"/>
      <c r="AL42" s="40"/>
      <c r="AM42" s="40"/>
      <c r="AN42" s="40"/>
      <c r="AO42" s="41"/>
      <c r="AP42" s="40"/>
      <c r="AQ42" s="40"/>
    </row>
    <row r="43" spans="1:43" s="317" customFormat="1" ht="12">
      <c r="A43" s="194" t="s">
        <v>137</v>
      </c>
      <c r="B43" s="195"/>
      <c r="C43" s="196"/>
      <c r="D43" s="196"/>
      <c r="E43" s="196"/>
      <c r="F43" s="195"/>
      <c r="G43" s="196"/>
      <c r="H43" s="196"/>
      <c r="I43" s="197"/>
      <c r="J43" s="195"/>
      <c r="K43" s="196"/>
      <c r="L43" s="196"/>
      <c r="M43" s="197"/>
      <c r="N43" s="195"/>
      <c r="O43" s="196"/>
      <c r="P43" s="196"/>
      <c r="Q43" s="197"/>
      <c r="R43" s="195"/>
      <c r="S43" s="196"/>
      <c r="T43" s="196"/>
      <c r="U43" s="197"/>
      <c r="V43" s="195"/>
      <c r="W43" s="196"/>
      <c r="X43" s="196"/>
      <c r="Y43" s="197"/>
      <c r="Z43" s="195"/>
      <c r="AA43" s="196"/>
      <c r="AB43" s="196"/>
      <c r="AC43" s="197"/>
      <c r="AD43" s="195"/>
      <c r="AE43" s="196"/>
      <c r="AF43" s="196"/>
      <c r="AG43" s="197"/>
      <c r="AH43" s="196"/>
      <c r="AI43" s="196"/>
      <c r="AJ43" s="196"/>
      <c r="AK43" s="197"/>
      <c r="AL43" s="196"/>
      <c r="AM43" s="196"/>
      <c r="AN43" s="196"/>
      <c r="AO43" s="197"/>
      <c r="AP43" s="196"/>
      <c r="AQ43" s="196"/>
    </row>
    <row r="44" spans="1:43" s="4" customFormat="1" ht="12.75">
      <c r="A44" s="38"/>
      <c r="B44" s="39"/>
      <c r="C44" s="40"/>
      <c r="D44" s="40"/>
      <c r="E44" s="40"/>
      <c r="F44" s="39"/>
      <c r="G44" s="40"/>
      <c r="H44" s="40"/>
      <c r="I44" s="41"/>
      <c r="J44" s="39"/>
      <c r="K44" s="40"/>
      <c r="L44" s="40"/>
      <c r="M44" s="41"/>
      <c r="N44" s="39"/>
      <c r="O44" s="40"/>
      <c r="P44" s="40"/>
      <c r="Q44" s="41"/>
      <c r="R44" s="39"/>
      <c r="S44" s="40"/>
      <c r="T44" s="40"/>
      <c r="U44" s="41"/>
      <c r="V44" s="39"/>
      <c r="W44" s="40"/>
      <c r="X44" s="40"/>
      <c r="Y44" s="41"/>
      <c r="Z44" s="39"/>
      <c r="AA44" s="40"/>
      <c r="AB44" s="40"/>
      <c r="AC44" s="41"/>
      <c r="AD44" s="39"/>
      <c r="AE44" s="40"/>
      <c r="AF44" s="40"/>
      <c r="AG44" s="41"/>
      <c r="AH44" s="40"/>
      <c r="AI44" s="40"/>
      <c r="AJ44" s="40"/>
      <c r="AK44" s="41"/>
      <c r="AL44" s="40"/>
      <c r="AM44" s="40"/>
      <c r="AN44" s="40"/>
      <c r="AO44" s="41"/>
      <c r="AP44" s="40"/>
      <c r="AQ44" s="40"/>
    </row>
    <row r="45" spans="1:43" s="9" customFormat="1" ht="12.75">
      <c r="A45" s="37" t="s">
        <v>293</v>
      </c>
      <c r="B45" s="253">
        <f>SUM(B46,B49:B52)</f>
        <v>7760.700000000001</v>
      </c>
      <c r="C45" s="254">
        <f aca="true" t="shared" si="66" ref="C45:AC45">SUM(C46,C49:C52)</f>
        <v>8279.400000000001</v>
      </c>
      <c r="D45" s="254">
        <f t="shared" si="66"/>
        <v>8634.400000000001</v>
      </c>
      <c r="E45" s="254">
        <f t="shared" si="66"/>
        <v>8962.8</v>
      </c>
      <c r="F45" s="253">
        <f t="shared" si="66"/>
        <v>10012.800000000001</v>
      </c>
      <c r="G45" s="254">
        <f t="shared" si="66"/>
        <v>10660.499999999998</v>
      </c>
      <c r="H45" s="254">
        <f t="shared" si="66"/>
        <v>11965.9</v>
      </c>
      <c r="I45" s="255">
        <f t="shared" si="66"/>
        <v>12908.1</v>
      </c>
      <c r="J45" s="253">
        <f t="shared" si="66"/>
        <v>13534</v>
      </c>
      <c r="K45" s="254">
        <f t="shared" si="66"/>
        <v>13234.2</v>
      </c>
      <c r="L45" s="254">
        <f t="shared" si="66"/>
        <v>12873.8</v>
      </c>
      <c r="M45" s="255">
        <f t="shared" si="66"/>
        <v>12421.5</v>
      </c>
      <c r="N45" s="253">
        <f t="shared" si="66"/>
        <v>12353.699999999999</v>
      </c>
      <c r="O45" s="254">
        <f t="shared" si="66"/>
        <v>12726.800000000001</v>
      </c>
      <c r="P45" s="254">
        <f t="shared" si="66"/>
        <v>13683</v>
      </c>
      <c r="Q45" s="255">
        <f t="shared" si="66"/>
        <v>13674.5</v>
      </c>
      <c r="R45" s="253">
        <f t="shared" si="66"/>
        <v>13933.3</v>
      </c>
      <c r="S45" s="254">
        <f t="shared" si="66"/>
        <v>14792.199999999999</v>
      </c>
      <c r="T45" s="254">
        <f t="shared" si="66"/>
        <v>15971.399999999998</v>
      </c>
      <c r="U45" s="255">
        <f t="shared" si="66"/>
        <v>17432.399999999998</v>
      </c>
      <c r="V45" s="253">
        <f t="shared" si="66"/>
        <v>24312.6</v>
      </c>
      <c r="W45" s="254">
        <f t="shared" si="66"/>
        <v>24402.6</v>
      </c>
      <c r="X45" s="254">
        <f t="shared" si="66"/>
        <v>24740.799999999996</v>
      </c>
      <c r="Y45" s="255">
        <f t="shared" si="66"/>
        <v>24052.9</v>
      </c>
      <c r="Z45" s="253">
        <f t="shared" si="66"/>
        <v>24203.5</v>
      </c>
      <c r="AA45" s="254">
        <f t="shared" si="66"/>
        <v>25026.4</v>
      </c>
      <c r="AB45" s="254">
        <f t="shared" si="66"/>
        <v>25993.399999999998</v>
      </c>
      <c r="AC45" s="255">
        <f t="shared" si="66"/>
        <v>25951</v>
      </c>
      <c r="AD45" s="253">
        <f aca="true" t="shared" si="67" ref="AD45:AI45">SUM(AD46,AD49:AD52)</f>
        <v>27636.4</v>
      </c>
      <c r="AE45" s="254">
        <f t="shared" si="67"/>
        <v>29345.300000000007</v>
      </c>
      <c r="AF45" s="254">
        <f t="shared" si="67"/>
        <v>30902.3</v>
      </c>
      <c r="AG45" s="255">
        <f t="shared" si="67"/>
        <v>30267.999999999996</v>
      </c>
      <c r="AH45" s="254">
        <f t="shared" si="67"/>
        <v>31630.500000000007</v>
      </c>
      <c r="AI45" s="254">
        <f t="shared" si="67"/>
        <v>34327.2</v>
      </c>
      <c r="AJ45" s="254">
        <f aca="true" t="shared" si="68" ref="AJ45:AQ45">SUM(AJ46,AJ49:AJ52)</f>
        <v>36599.2</v>
      </c>
      <c r="AK45" s="255">
        <f t="shared" si="68"/>
        <v>35998.3</v>
      </c>
      <c r="AL45" s="254">
        <f t="shared" si="68"/>
        <v>37657.40000000001</v>
      </c>
      <c r="AM45" s="254">
        <f t="shared" si="68"/>
        <v>38686.9</v>
      </c>
      <c r="AN45" s="254">
        <f t="shared" si="68"/>
        <v>39999.4</v>
      </c>
      <c r="AO45" s="255">
        <f t="shared" si="68"/>
        <v>40321</v>
      </c>
      <c r="AP45" s="254">
        <f t="shared" si="68"/>
        <v>41779.100000000006</v>
      </c>
      <c r="AQ45" s="254">
        <f t="shared" si="68"/>
        <v>42851.6</v>
      </c>
    </row>
    <row r="46" spans="1:43" s="4" customFormat="1" ht="12.75">
      <c r="A46" s="38" t="s">
        <v>299</v>
      </c>
      <c r="B46" s="119">
        <f>SUM(B47:B48)</f>
        <v>7497.000000000001</v>
      </c>
      <c r="C46" s="120">
        <f aca="true" t="shared" si="69" ref="C46:W46">SUM(C47:C48)</f>
        <v>8001</v>
      </c>
      <c r="D46" s="120">
        <f t="shared" si="69"/>
        <v>8387.9</v>
      </c>
      <c r="E46" s="120">
        <f t="shared" si="69"/>
        <v>8783.099999999999</v>
      </c>
      <c r="F46" s="119">
        <f t="shared" si="69"/>
        <v>9812.400000000001</v>
      </c>
      <c r="G46" s="120">
        <f t="shared" si="69"/>
        <v>10462.8</v>
      </c>
      <c r="H46" s="120">
        <f t="shared" si="69"/>
        <v>11713</v>
      </c>
      <c r="I46" s="256">
        <f t="shared" si="69"/>
        <v>12153.3</v>
      </c>
      <c r="J46" s="119">
        <f t="shared" si="69"/>
        <v>12665.2</v>
      </c>
      <c r="K46" s="120">
        <f t="shared" si="69"/>
        <v>12407.6</v>
      </c>
      <c r="L46" s="120">
        <f t="shared" si="69"/>
        <v>12236.599999999999</v>
      </c>
      <c r="M46" s="256">
        <f t="shared" si="69"/>
        <v>11871.9</v>
      </c>
      <c r="N46" s="119">
        <f t="shared" si="69"/>
        <v>11873.9</v>
      </c>
      <c r="O46" s="120">
        <f t="shared" si="69"/>
        <v>12198</v>
      </c>
      <c r="P46" s="120">
        <f t="shared" si="69"/>
        <v>12939.7</v>
      </c>
      <c r="Q46" s="256">
        <f t="shared" si="69"/>
        <v>12851.2</v>
      </c>
      <c r="R46" s="119">
        <f t="shared" si="69"/>
        <v>13210.5</v>
      </c>
      <c r="S46" s="120">
        <f t="shared" si="69"/>
        <v>14014.4</v>
      </c>
      <c r="T46" s="120">
        <f t="shared" si="69"/>
        <v>14868.3</v>
      </c>
      <c r="U46" s="256">
        <f t="shared" si="69"/>
        <v>15714.1</v>
      </c>
      <c r="V46" s="119">
        <f t="shared" si="69"/>
        <v>18068.3</v>
      </c>
      <c r="W46" s="120">
        <f t="shared" si="69"/>
        <v>18113.1</v>
      </c>
      <c r="X46" s="120">
        <f aca="true" t="shared" si="70" ref="X46:AC46">SUM(X47:X48)</f>
        <v>18187.899999999998</v>
      </c>
      <c r="Y46" s="256">
        <f t="shared" si="70"/>
        <v>17364</v>
      </c>
      <c r="Z46" s="119">
        <f t="shared" si="70"/>
        <v>18067.6</v>
      </c>
      <c r="AA46" s="120">
        <f t="shared" si="70"/>
        <v>18288.4</v>
      </c>
      <c r="AB46" s="120">
        <f t="shared" si="70"/>
        <v>18870.2</v>
      </c>
      <c r="AC46" s="256">
        <f t="shared" si="70"/>
        <v>18761.5</v>
      </c>
      <c r="AD46" s="119">
        <f aca="true" t="shared" si="71" ref="AD46:AI46">SUM(AD47:AD48)</f>
        <v>20498.800000000003</v>
      </c>
      <c r="AE46" s="120">
        <f t="shared" si="71"/>
        <v>21596.300000000003</v>
      </c>
      <c r="AF46" s="120">
        <f t="shared" si="71"/>
        <v>22086</v>
      </c>
      <c r="AG46" s="256">
        <f t="shared" si="71"/>
        <v>21870.5</v>
      </c>
      <c r="AH46" s="120">
        <f t="shared" si="71"/>
        <v>23515.800000000003</v>
      </c>
      <c r="AI46" s="120">
        <f t="shared" si="71"/>
        <v>25748.699999999997</v>
      </c>
      <c r="AJ46" s="120">
        <f>SUM(AJ47:AJ48)</f>
        <v>27429.3</v>
      </c>
      <c r="AK46" s="256">
        <f>SUM(AK47:AK48)</f>
        <v>26884.800000000003</v>
      </c>
      <c r="AL46" s="120">
        <f>SUM(AL47:AL48)</f>
        <v>28659.800000000003</v>
      </c>
      <c r="AM46" s="120">
        <f>SUM(AM47:AM48)</f>
        <v>29117.7</v>
      </c>
      <c r="AN46" s="120">
        <v>30118.1</v>
      </c>
      <c r="AO46" s="256">
        <v>30245.8</v>
      </c>
      <c r="AP46" s="120">
        <v>31553.4</v>
      </c>
      <c r="AQ46" s="120">
        <v>32424.5</v>
      </c>
    </row>
    <row r="47" spans="1:43" s="7" customFormat="1" ht="12.75">
      <c r="A47" s="56" t="s">
        <v>294</v>
      </c>
      <c r="B47" s="257">
        <v>2902.5</v>
      </c>
      <c r="C47" s="237">
        <v>3044.2</v>
      </c>
      <c r="D47" s="237">
        <v>3151.5</v>
      </c>
      <c r="E47" s="237">
        <v>3104.3</v>
      </c>
      <c r="F47" s="257">
        <v>3716</v>
      </c>
      <c r="G47" s="237">
        <v>4006.5</v>
      </c>
      <c r="H47" s="237">
        <v>4328.9</v>
      </c>
      <c r="I47" s="258">
        <v>3931.5</v>
      </c>
      <c r="J47" s="257">
        <v>4269</v>
      </c>
      <c r="K47" s="237">
        <v>4301</v>
      </c>
      <c r="L47" s="237">
        <v>4001.9</v>
      </c>
      <c r="M47" s="258">
        <v>3504.5</v>
      </c>
      <c r="N47" s="257">
        <v>3713.8</v>
      </c>
      <c r="O47" s="237">
        <v>3930.5</v>
      </c>
      <c r="P47" s="237">
        <v>4036.5</v>
      </c>
      <c r="Q47" s="258">
        <v>3724.3</v>
      </c>
      <c r="R47" s="257">
        <v>4031.2</v>
      </c>
      <c r="S47" s="237">
        <v>4490.6</v>
      </c>
      <c r="T47" s="237">
        <v>4624</v>
      </c>
      <c r="U47" s="258">
        <v>4316.1</v>
      </c>
      <c r="V47" s="257">
        <v>5179.3</v>
      </c>
      <c r="W47" s="237">
        <v>5409.3</v>
      </c>
      <c r="X47" s="237">
        <v>5440.7</v>
      </c>
      <c r="Y47" s="258">
        <v>4978.3</v>
      </c>
      <c r="Z47" s="257">
        <v>5169.5</v>
      </c>
      <c r="AA47" s="237">
        <v>5223</v>
      </c>
      <c r="AB47" s="237">
        <v>5612.6</v>
      </c>
      <c r="AC47" s="258">
        <v>5223</v>
      </c>
      <c r="AD47" s="257">
        <v>6031.1</v>
      </c>
      <c r="AE47" s="237">
        <v>6192.6</v>
      </c>
      <c r="AF47" s="237">
        <v>6139.8</v>
      </c>
      <c r="AG47" s="258">
        <v>5724.2</v>
      </c>
      <c r="AH47" s="237">
        <v>6596.1</v>
      </c>
      <c r="AI47" s="237">
        <v>7085.4</v>
      </c>
      <c r="AJ47" s="237">
        <v>7564.3</v>
      </c>
      <c r="AK47" s="258">
        <v>6999.9</v>
      </c>
      <c r="AL47" s="237">
        <v>7764.9</v>
      </c>
      <c r="AM47" s="237">
        <v>7844.8</v>
      </c>
      <c r="AN47" s="237">
        <v>7765.9</v>
      </c>
      <c r="AO47" s="258">
        <v>6964.2</v>
      </c>
      <c r="AP47" s="237">
        <v>8521.8</v>
      </c>
      <c r="AQ47" s="237">
        <v>8689.5</v>
      </c>
    </row>
    <row r="48" spans="1:43" s="7" customFormat="1" ht="12.75">
      <c r="A48" s="56" t="s">
        <v>295</v>
      </c>
      <c r="B48" s="257">
        <f>4736.6+24.1-24.2-142</f>
        <v>4594.500000000001</v>
      </c>
      <c r="C48" s="237">
        <f>5101.5+19-20.9-142.8</f>
        <v>4956.8</v>
      </c>
      <c r="D48" s="237">
        <f>5353.9+24.4-24.7-117.2</f>
        <v>5236.4</v>
      </c>
      <c r="E48" s="237">
        <f>5801.4-122.6</f>
        <v>5678.799999999999</v>
      </c>
      <c r="F48" s="257">
        <f>6219.3-122.9</f>
        <v>6096.400000000001</v>
      </c>
      <c r="G48" s="237">
        <f>6585.1-128.8</f>
        <v>6456.3</v>
      </c>
      <c r="H48" s="237">
        <f>7552.9-168.8</f>
        <v>7384.099999999999</v>
      </c>
      <c r="I48" s="258">
        <f>8380.5-158.7</f>
        <v>8221.8</v>
      </c>
      <c r="J48" s="257">
        <f>8661.6-265.4</f>
        <v>8396.2</v>
      </c>
      <c r="K48" s="237">
        <f>8356.6-250</f>
        <v>8106.6</v>
      </c>
      <c r="L48" s="237">
        <f>8407.4-172.7</f>
        <v>8234.699999999999</v>
      </c>
      <c r="M48" s="258">
        <f>8537.8-170.4</f>
        <v>8367.4</v>
      </c>
      <c r="N48" s="257">
        <f>8297.4-137.3</f>
        <v>8160.099999999999</v>
      </c>
      <c r="O48" s="237">
        <f>8432.1-164.6</f>
        <v>8267.5</v>
      </c>
      <c r="P48" s="237">
        <f>9055-151.8</f>
        <v>8903.2</v>
      </c>
      <c r="Q48" s="258">
        <f>9126.9</f>
        <v>9126.9</v>
      </c>
      <c r="R48" s="257">
        <v>9179.300000000001</v>
      </c>
      <c r="S48" s="237">
        <v>9523.8</v>
      </c>
      <c r="T48" s="237">
        <v>10244.3</v>
      </c>
      <c r="U48" s="258">
        <v>11398</v>
      </c>
      <c r="V48" s="257">
        <v>12889</v>
      </c>
      <c r="W48" s="237">
        <v>12703.8</v>
      </c>
      <c r="X48" s="237">
        <v>12747.199999999999</v>
      </c>
      <c r="Y48" s="258">
        <v>12385.7</v>
      </c>
      <c r="Z48" s="257">
        <v>12898.099999999999</v>
      </c>
      <c r="AA48" s="237">
        <v>13065.4</v>
      </c>
      <c r="AB48" s="237">
        <v>13257.6</v>
      </c>
      <c r="AC48" s="258">
        <v>13538.499999999998</v>
      </c>
      <c r="AD48" s="257">
        <v>14467.7</v>
      </c>
      <c r="AE48" s="237">
        <v>15403.7</v>
      </c>
      <c r="AF48" s="237">
        <v>15946.2</v>
      </c>
      <c r="AG48" s="258">
        <v>16146.300000000001</v>
      </c>
      <c r="AH48" s="237">
        <v>16919.7</v>
      </c>
      <c r="AI48" s="237">
        <v>18663.3</v>
      </c>
      <c r="AJ48" s="237">
        <v>19865</v>
      </c>
      <c r="AK48" s="258">
        <v>19884.9</v>
      </c>
      <c r="AL48" s="237">
        <v>20894.9</v>
      </c>
      <c r="AM48" s="237">
        <v>21272.9</v>
      </c>
      <c r="AN48" s="237">
        <v>22352.2</v>
      </c>
      <c r="AO48" s="258">
        <v>23281.6</v>
      </c>
      <c r="AP48" s="237">
        <v>23031.6</v>
      </c>
      <c r="AQ48" s="237">
        <v>23735</v>
      </c>
    </row>
    <row r="49" spans="1:43" s="4" customFormat="1" ht="12.75">
      <c r="A49" s="38" t="s">
        <v>284</v>
      </c>
      <c r="B49" s="119">
        <v>0</v>
      </c>
      <c r="C49" s="120">
        <v>0</v>
      </c>
      <c r="D49" s="120">
        <v>0</v>
      </c>
      <c r="E49" s="120">
        <v>0</v>
      </c>
      <c r="F49" s="119">
        <v>0</v>
      </c>
      <c r="G49" s="120">
        <v>0</v>
      </c>
      <c r="H49" s="120">
        <v>0</v>
      </c>
      <c r="I49" s="256">
        <v>0</v>
      </c>
      <c r="J49" s="119">
        <v>0</v>
      </c>
      <c r="K49" s="120">
        <v>0</v>
      </c>
      <c r="L49" s="120">
        <v>0</v>
      </c>
      <c r="M49" s="256">
        <v>0</v>
      </c>
      <c r="N49" s="119">
        <v>0</v>
      </c>
      <c r="O49" s="120">
        <v>0</v>
      </c>
      <c r="P49" s="120">
        <v>0</v>
      </c>
      <c r="Q49" s="256">
        <v>0</v>
      </c>
      <c r="R49" s="119">
        <v>0</v>
      </c>
      <c r="S49" s="120">
        <v>0</v>
      </c>
      <c r="T49" s="120">
        <v>0</v>
      </c>
      <c r="U49" s="256">
        <v>0</v>
      </c>
      <c r="V49" s="119">
        <v>2898.1</v>
      </c>
      <c r="W49" s="120">
        <v>2922.1</v>
      </c>
      <c r="X49" s="120">
        <v>3054.7999999999997</v>
      </c>
      <c r="Y49" s="256">
        <v>3132.8</v>
      </c>
      <c r="Z49" s="119">
        <v>3151.4</v>
      </c>
      <c r="AA49" s="120">
        <v>3276.4</v>
      </c>
      <c r="AB49" s="120">
        <v>3395</v>
      </c>
      <c r="AC49" s="256">
        <v>3509.9</v>
      </c>
      <c r="AD49" s="119">
        <v>3537.3</v>
      </c>
      <c r="AE49" s="120">
        <v>3886.4</v>
      </c>
      <c r="AF49" s="120">
        <v>3932.2</v>
      </c>
      <c r="AG49" s="256">
        <v>3972.8</v>
      </c>
      <c r="AH49" s="120">
        <v>3907.9</v>
      </c>
      <c r="AI49" s="120">
        <v>4154.8</v>
      </c>
      <c r="AJ49" s="120">
        <v>4270.7</v>
      </c>
      <c r="AK49" s="256">
        <v>4319.5</v>
      </c>
      <c r="AL49" s="120">
        <v>4399.4</v>
      </c>
      <c r="AM49" s="120">
        <v>4759.6</v>
      </c>
      <c r="AN49" s="120">
        <v>4772.5</v>
      </c>
      <c r="AO49" s="256">
        <v>4903.4</v>
      </c>
      <c r="AP49" s="120">
        <v>4925.1</v>
      </c>
      <c r="AQ49" s="120">
        <v>5169.5</v>
      </c>
    </row>
    <row r="50" spans="1:43" s="4" customFormat="1" ht="12.75">
      <c r="A50" s="38" t="s">
        <v>285</v>
      </c>
      <c r="B50" s="119">
        <v>142</v>
      </c>
      <c r="C50" s="120">
        <v>142.8</v>
      </c>
      <c r="D50" s="120">
        <v>117.2</v>
      </c>
      <c r="E50" s="120">
        <v>122.6</v>
      </c>
      <c r="F50" s="119">
        <v>122.9</v>
      </c>
      <c r="G50" s="120">
        <v>128.8</v>
      </c>
      <c r="H50" s="120">
        <v>168.8</v>
      </c>
      <c r="I50" s="256">
        <v>158.7</v>
      </c>
      <c r="J50" s="119">
        <v>265.4</v>
      </c>
      <c r="K50" s="120">
        <v>250</v>
      </c>
      <c r="L50" s="120">
        <v>172.7</v>
      </c>
      <c r="M50" s="256">
        <v>170.4</v>
      </c>
      <c r="N50" s="119">
        <v>137.3</v>
      </c>
      <c r="O50" s="120">
        <v>164.6</v>
      </c>
      <c r="P50" s="120">
        <v>151.8</v>
      </c>
      <c r="Q50" s="256">
        <v>112.8</v>
      </c>
      <c r="R50" s="119">
        <v>99.4</v>
      </c>
      <c r="S50" s="120">
        <v>183</v>
      </c>
      <c r="T50" s="120">
        <v>264.3</v>
      </c>
      <c r="U50" s="256">
        <v>255.1</v>
      </c>
      <c r="V50" s="119">
        <v>1837.5</v>
      </c>
      <c r="W50" s="120">
        <v>2063.1</v>
      </c>
      <c r="X50" s="120">
        <v>1982</v>
      </c>
      <c r="Y50" s="256">
        <v>2168.2</v>
      </c>
      <c r="Z50" s="119">
        <v>1928.4</v>
      </c>
      <c r="AA50" s="120">
        <v>2194.6000000000004</v>
      </c>
      <c r="AB50" s="120">
        <v>2408.3999999999996</v>
      </c>
      <c r="AC50" s="256">
        <v>2416.5</v>
      </c>
      <c r="AD50" s="119">
        <v>2314.5</v>
      </c>
      <c r="AE50" s="120">
        <v>2565.0000000000005</v>
      </c>
      <c r="AF50" s="120">
        <v>2811.1</v>
      </c>
      <c r="AG50" s="256">
        <v>2746</v>
      </c>
      <c r="AH50" s="120">
        <v>2484.5000000000005</v>
      </c>
      <c r="AI50" s="120">
        <v>2733.3</v>
      </c>
      <c r="AJ50" s="120">
        <v>3047.7</v>
      </c>
      <c r="AK50" s="256">
        <v>3279.8</v>
      </c>
      <c r="AL50" s="120">
        <v>3297.3</v>
      </c>
      <c r="AM50" s="120">
        <v>3916.7</v>
      </c>
      <c r="AN50" s="120">
        <v>4163.4</v>
      </c>
      <c r="AO50" s="256">
        <v>4208.5</v>
      </c>
      <c r="AP50" s="120">
        <v>4401.3</v>
      </c>
      <c r="AQ50" s="120">
        <v>4497.9</v>
      </c>
    </row>
    <row r="51" spans="1:43" s="4" customFormat="1" ht="12.75">
      <c r="A51" s="38" t="s">
        <v>345</v>
      </c>
      <c r="B51" s="119">
        <v>108.5</v>
      </c>
      <c r="C51" s="120">
        <f>101.4</f>
        <v>101.4</v>
      </c>
      <c r="D51" s="120">
        <v>96.6</v>
      </c>
      <c r="E51" s="120">
        <v>13.5</v>
      </c>
      <c r="F51" s="119">
        <v>13.5</v>
      </c>
      <c r="G51" s="120">
        <v>13.5</v>
      </c>
      <c r="H51" s="120">
        <v>13.5</v>
      </c>
      <c r="I51" s="256">
        <v>559.4</v>
      </c>
      <c r="J51" s="119">
        <v>552.3</v>
      </c>
      <c r="K51" s="120">
        <v>534</v>
      </c>
      <c r="L51" s="120">
        <v>440.5</v>
      </c>
      <c r="M51" s="256">
        <v>306.5</v>
      </c>
      <c r="N51" s="119">
        <v>304.3</v>
      </c>
      <c r="O51" s="120">
        <v>306.7</v>
      </c>
      <c r="P51" s="120">
        <v>566.5</v>
      </c>
      <c r="Q51" s="256">
        <v>646.6</v>
      </c>
      <c r="R51" s="119">
        <v>584.8</v>
      </c>
      <c r="S51" s="120">
        <v>537.5</v>
      </c>
      <c r="T51" s="120">
        <v>800.8</v>
      </c>
      <c r="U51" s="256">
        <v>1446.1</v>
      </c>
      <c r="V51" s="119">
        <v>1493</v>
      </c>
      <c r="W51" s="120">
        <v>1289.9</v>
      </c>
      <c r="X51" s="120">
        <v>1472.5</v>
      </c>
      <c r="Y51" s="256">
        <v>1376</v>
      </c>
      <c r="Z51" s="119">
        <v>1042.3</v>
      </c>
      <c r="AA51" s="120">
        <v>1238.5</v>
      </c>
      <c r="AB51" s="120">
        <v>1302.6</v>
      </c>
      <c r="AC51" s="256">
        <v>1244.8</v>
      </c>
      <c r="AD51" s="119">
        <v>1269.5</v>
      </c>
      <c r="AE51" s="120">
        <v>1276.7</v>
      </c>
      <c r="AF51" s="120">
        <v>1840</v>
      </c>
      <c r="AG51" s="256">
        <v>1664.1</v>
      </c>
      <c r="AH51" s="120">
        <v>1695.9</v>
      </c>
      <c r="AI51" s="120">
        <v>1679.3</v>
      </c>
      <c r="AJ51" s="120">
        <v>1839</v>
      </c>
      <c r="AK51" s="256">
        <v>1502</v>
      </c>
      <c r="AL51" s="120">
        <v>1287.8</v>
      </c>
      <c r="AM51" s="120">
        <v>887.6</v>
      </c>
      <c r="AN51" s="120">
        <v>939.8</v>
      </c>
      <c r="AO51" s="256">
        <v>956.3</v>
      </c>
      <c r="AP51" s="120">
        <v>889.4</v>
      </c>
      <c r="AQ51" s="120">
        <v>752.6</v>
      </c>
    </row>
    <row r="52" spans="1:43" s="4" customFormat="1" ht="12.75">
      <c r="A52" s="38" t="s">
        <v>300</v>
      </c>
      <c r="B52" s="119">
        <v>13.199999999999989</v>
      </c>
      <c r="C52" s="120">
        <v>34.2</v>
      </c>
      <c r="D52" s="120">
        <v>32.7</v>
      </c>
      <c r="E52" s="120">
        <v>43.6</v>
      </c>
      <c r="F52" s="119">
        <v>64</v>
      </c>
      <c r="G52" s="120">
        <v>55.4</v>
      </c>
      <c r="H52" s="120">
        <v>70.60000000000001</v>
      </c>
      <c r="I52" s="256">
        <v>36.7</v>
      </c>
      <c r="J52" s="119">
        <v>51.1</v>
      </c>
      <c r="K52" s="120">
        <v>42.599999999999994</v>
      </c>
      <c r="L52" s="120">
        <v>24</v>
      </c>
      <c r="M52" s="256">
        <v>72.7</v>
      </c>
      <c r="N52" s="119">
        <v>38.2</v>
      </c>
      <c r="O52" s="120">
        <v>57.5</v>
      </c>
      <c r="P52" s="120">
        <v>25</v>
      </c>
      <c r="Q52" s="256">
        <v>63.9</v>
      </c>
      <c r="R52" s="119">
        <v>38.599999999999994</v>
      </c>
      <c r="S52" s="120">
        <v>57.300000000000004</v>
      </c>
      <c r="T52" s="120">
        <v>38</v>
      </c>
      <c r="U52" s="256">
        <v>17.1</v>
      </c>
      <c r="V52" s="119">
        <v>15.7</v>
      </c>
      <c r="W52" s="120">
        <v>14.4</v>
      </c>
      <c r="X52" s="120">
        <v>43.599999999999994</v>
      </c>
      <c r="Y52" s="256">
        <v>11.9</v>
      </c>
      <c r="Z52" s="119">
        <v>13.8</v>
      </c>
      <c r="AA52" s="120">
        <v>28.5</v>
      </c>
      <c r="AB52" s="120">
        <v>17.200000000000003</v>
      </c>
      <c r="AC52" s="256">
        <v>18.299999999999997</v>
      </c>
      <c r="AD52" s="119">
        <v>16.3</v>
      </c>
      <c r="AE52" s="120">
        <v>20.9</v>
      </c>
      <c r="AF52" s="120">
        <v>233</v>
      </c>
      <c r="AG52" s="256">
        <v>14.600000000000001</v>
      </c>
      <c r="AH52" s="120">
        <v>26.400000000000002</v>
      </c>
      <c r="AI52" s="120">
        <v>11.1</v>
      </c>
      <c r="AJ52" s="120">
        <v>12.5</v>
      </c>
      <c r="AK52" s="256">
        <v>12.2</v>
      </c>
      <c r="AL52" s="120">
        <v>13.1</v>
      </c>
      <c r="AM52" s="120">
        <v>5.3</v>
      </c>
      <c r="AN52" s="120">
        <v>5.6</v>
      </c>
      <c r="AO52" s="256">
        <v>7</v>
      </c>
      <c r="AP52" s="120">
        <v>9.9</v>
      </c>
      <c r="AQ52" s="120">
        <v>7.1</v>
      </c>
    </row>
    <row r="53" spans="1:43" s="9" customFormat="1" ht="12.75">
      <c r="A53" s="37" t="s">
        <v>296</v>
      </c>
      <c r="B53" s="253">
        <f>SUM(B54,B57:B59)</f>
        <v>3807.8999999999996</v>
      </c>
      <c r="C53" s="254">
        <f aca="true" t="shared" si="72" ref="C53:AC53">SUM(C54,C57:C59)</f>
        <v>4182.900000000001</v>
      </c>
      <c r="D53" s="254">
        <f t="shared" si="72"/>
        <v>4627.9</v>
      </c>
      <c r="E53" s="254">
        <f t="shared" si="72"/>
        <v>4937.9</v>
      </c>
      <c r="F53" s="253">
        <f t="shared" si="72"/>
        <v>5373.5</v>
      </c>
      <c r="G53" s="254">
        <f t="shared" si="72"/>
        <v>5931.5</v>
      </c>
      <c r="H53" s="254">
        <f t="shared" si="72"/>
        <v>6603.6</v>
      </c>
      <c r="I53" s="255">
        <f t="shared" si="72"/>
        <v>7446.499999999999</v>
      </c>
      <c r="J53" s="253">
        <f t="shared" si="72"/>
        <v>8253.1</v>
      </c>
      <c r="K53" s="254">
        <f t="shared" si="72"/>
        <v>8827.9</v>
      </c>
      <c r="L53" s="254">
        <f t="shared" si="72"/>
        <v>9336.9</v>
      </c>
      <c r="M53" s="255">
        <f t="shared" si="72"/>
        <v>9822.8</v>
      </c>
      <c r="N53" s="253">
        <f t="shared" si="72"/>
        <v>10282.6</v>
      </c>
      <c r="O53" s="254">
        <f t="shared" si="72"/>
        <v>11110.7</v>
      </c>
      <c r="P53" s="254">
        <f t="shared" si="72"/>
        <v>11647.300000000001</v>
      </c>
      <c r="Q53" s="255">
        <f t="shared" si="72"/>
        <v>12631.3</v>
      </c>
      <c r="R53" s="253">
        <f t="shared" si="72"/>
        <v>13278</v>
      </c>
      <c r="S53" s="254">
        <f t="shared" si="72"/>
        <v>14035</v>
      </c>
      <c r="T53" s="254">
        <f t="shared" si="72"/>
        <v>14804.8</v>
      </c>
      <c r="U53" s="255">
        <f t="shared" si="72"/>
        <v>15315.699999999999</v>
      </c>
      <c r="V53" s="253">
        <f t="shared" si="72"/>
        <v>15619.9</v>
      </c>
      <c r="W53" s="254">
        <f t="shared" si="72"/>
        <v>16218.9</v>
      </c>
      <c r="X53" s="254">
        <f t="shared" si="72"/>
        <v>16721.5</v>
      </c>
      <c r="Y53" s="255">
        <f t="shared" si="72"/>
        <v>17019.899999999998</v>
      </c>
      <c r="Z53" s="253">
        <f t="shared" si="72"/>
        <v>17329.699999999997</v>
      </c>
      <c r="AA53" s="254">
        <f t="shared" si="72"/>
        <v>18116.800000000003</v>
      </c>
      <c r="AB53" s="254">
        <f t="shared" si="72"/>
        <v>18766</v>
      </c>
      <c r="AC53" s="255">
        <f t="shared" si="72"/>
        <v>19015.899999999998</v>
      </c>
      <c r="AD53" s="253">
        <f aca="true" t="shared" si="73" ref="AD53:AI53">SUM(AD54,AD57:AD59)</f>
        <v>19748.6</v>
      </c>
      <c r="AE53" s="254">
        <f t="shared" si="73"/>
        <v>20601.800000000003</v>
      </c>
      <c r="AF53" s="254">
        <f t="shared" si="73"/>
        <v>21792.899999999998</v>
      </c>
      <c r="AG53" s="255">
        <f t="shared" si="73"/>
        <v>22916.199999999997</v>
      </c>
      <c r="AH53" s="254">
        <f t="shared" si="73"/>
        <v>24274.899999999998</v>
      </c>
      <c r="AI53" s="254">
        <f t="shared" si="73"/>
        <v>25801.7</v>
      </c>
      <c r="AJ53" s="254">
        <f aca="true" t="shared" si="74" ref="AJ53:AQ53">SUM(AJ54,AJ57:AJ59)</f>
        <v>26823</v>
      </c>
      <c r="AK53" s="255">
        <f t="shared" si="74"/>
        <v>27832</v>
      </c>
      <c r="AL53" s="254">
        <f t="shared" si="74"/>
        <v>29226.9</v>
      </c>
      <c r="AM53" s="254">
        <f t="shared" si="74"/>
        <v>31110.9</v>
      </c>
      <c r="AN53" s="254">
        <f t="shared" si="74"/>
        <v>32297.799999999996</v>
      </c>
      <c r="AO53" s="255">
        <f t="shared" si="74"/>
        <v>33450</v>
      </c>
      <c r="AP53" s="254">
        <f t="shared" si="74"/>
        <v>34675.2</v>
      </c>
      <c r="AQ53" s="254">
        <f t="shared" si="74"/>
        <v>36236.00000000001</v>
      </c>
    </row>
    <row r="54" spans="1:43" s="4" customFormat="1" ht="12.75">
      <c r="A54" s="38" t="s">
        <v>299</v>
      </c>
      <c r="B54" s="119">
        <f>SUM(B55:B56)</f>
        <v>3801.8999999999996</v>
      </c>
      <c r="C54" s="120">
        <f aca="true" t="shared" si="75" ref="C54:W54">SUM(C55:C56)</f>
        <v>4176.400000000001</v>
      </c>
      <c r="D54" s="120">
        <f t="shared" si="75"/>
        <v>4618.599999999999</v>
      </c>
      <c r="E54" s="120">
        <f t="shared" si="75"/>
        <v>4930.9</v>
      </c>
      <c r="F54" s="119">
        <f t="shared" si="75"/>
        <v>5364.5</v>
      </c>
      <c r="G54" s="120">
        <f t="shared" si="75"/>
        <v>5925.4</v>
      </c>
      <c r="H54" s="120">
        <f t="shared" si="75"/>
        <v>6595.5</v>
      </c>
      <c r="I54" s="256">
        <f t="shared" si="75"/>
        <v>7441.199999999999</v>
      </c>
      <c r="J54" s="119">
        <f t="shared" si="75"/>
        <v>8247.7</v>
      </c>
      <c r="K54" s="120">
        <f t="shared" si="75"/>
        <v>8823.1</v>
      </c>
      <c r="L54" s="120">
        <f t="shared" si="75"/>
        <v>9331.1</v>
      </c>
      <c r="M54" s="256">
        <f t="shared" si="75"/>
        <v>9817.599999999999</v>
      </c>
      <c r="N54" s="119">
        <f t="shared" si="75"/>
        <v>10275.300000000001</v>
      </c>
      <c r="O54" s="120">
        <f t="shared" si="75"/>
        <v>11101.800000000001</v>
      </c>
      <c r="P54" s="120">
        <f t="shared" si="75"/>
        <v>11637.7</v>
      </c>
      <c r="Q54" s="256">
        <f t="shared" si="75"/>
        <v>12623.199999999999</v>
      </c>
      <c r="R54" s="119">
        <f t="shared" si="75"/>
        <v>13270.4</v>
      </c>
      <c r="S54" s="120">
        <f t="shared" si="75"/>
        <v>14019.5</v>
      </c>
      <c r="T54" s="120">
        <f t="shared" si="75"/>
        <v>14786.3</v>
      </c>
      <c r="U54" s="256">
        <f t="shared" si="75"/>
        <v>15297.199999999999</v>
      </c>
      <c r="V54" s="119">
        <f t="shared" si="75"/>
        <v>15567.4</v>
      </c>
      <c r="W54" s="120">
        <f t="shared" si="75"/>
        <v>16148.6</v>
      </c>
      <c r="X54" s="120">
        <f aca="true" t="shared" si="76" ref="X54:AC54">SUM(X55:X56)</f>
        <v>16632.399999999998</v>
      </c>
      <c r="Y54" s="256">
        <f t="shared" si="76"/>
        <v>16910.1</v>
      </c>
      <c r="Z54" s="119">
        <f t="shared" si="76"/>
        <v>17219</v>
      </c>
      <c r="AA54" s="120">
        <f t="shared" si="76"/>
        <v>17985.4</v>
      </c>
      <c r="AB54" s="120">
        <f t="shared" si="76"/>
        <v>18601.9</v>
      </c>
      <c r="AC54" s="256">
        <f t="shared" si="76"/>
        <v>18842.6</v>
      </c>
      <c r="AD54" s="119">
        <f aca="true" t="shared" si="77" ref="AD54:AI54">SUM(AD55:AD56)</f>
        <v>19410</v>
      </c>
      <c r="AE54" s="120">
        <f t="shared" si="77"/>
        <v>20220.600000000002</v>
      </c>
      <c r="AF54" s="120">
        <f t="shared" si="77"/>
        <v>21377.399999999998</v>
      </c>
      <c r="AG54" s="256">
        <f t="shared" si="77"/>
        <v>22441</v>
      </c>
      <c r="AH54" s="120">
        <f t="shared" si="77"/>
        <v>23772.999999999996</v>
      </c>
      <c r="AI54" s="120">
        <f t="shared" si="77"/>
        <v>25241.800000000003</v>
      </c>
      <c r="AJ54" s="120">
        <f>SUM(AJ55:AJ56)</f>
        <v>26218.8</v>
      </c>
      <c r="AK54" s="256">
        <f>SUM(AK55:AK56)</f>
        <v>27173.5</v>
      </c>
      <c r="AL54" s="120">
        <f>SUM(AL55:AL56)</f>
        <v>28514.8</v>
      </c>
      <c r="AM54" s="120">
        <f>SUM(AM55:AM56)</f>
        <v>30328.1</v>
      </c>
      <c r="AN54" s="120">
        <v>31464.6</v>
      </c>
      <c r="AO54" s="256">
        <v>32513.5</v>
      </c>
      <c r="AP54" s="120">
        <v>33747</v>
      </c>
      <c r="AQ54" s="120">
        <v>35233.3</v>
      </c>
    </row>
    <row r="55" spans="1:43" s="7" customFormat="1" ht="12.75">
      <c r="A55" s="56" t="s">
        <v>294</v>
      </c>
      <c r="B55" s="257">
        <v>951.1</v>
      </c>
      <c r="C55" s="237">
        <v>997.6</v>
      </c>
      <c r="D55" s="237">
        <v>1014.1</v>
      </c>
      <c r="E55" s="237">
        <v>968.5</v>
      </c>
      <c r="F55" s="257">
        <v>1028.5</v>
      </c>
      <c r="G55" s="237">
        <v>1102.8</v>
      </c>
      <c r="H55" s="237">
        <v>1144.9</v>
      </c>
      <c r="I55" s="258">
        <v>1091.6</v>
      </c>
      <c r="J55" s="257">
        <v>1187.5</v>
      </c>
      <c r="K55" s="237">
        <v>1238.7</v>
      </c>
      <c r="L55" s="237">
        <v>1266.1</v>
      </c>
      <c r="M55" s="258">
        <v>1227</v>
      </c>
      <c r="N55" s="257">
        <v>1316.1</v>
      </c>
      <c r="O55" s="237">
        <v>1308</v>
      </c>
      <c r="P55" s="237">
        <v>1354.2</v>
      </c>
      <c r="Q55" s="258">
        <v>1255.8</v>
      </c>
      <c r="R55" s="257">
        <v>1341.8</v>
      </c>
      <c r="S55" s="237">
        <v>1356.8</v>
      </c>
      <c r="T55" s="237">
        <v>1341.5</v>
      </c>
      <c r="U55" s="258">
        <v>1311.3</v>
      </c>
      <c r="V55" s="257">
        <v>1367.8</v>
      </c>
      <c r="W55" s="237">
        <v>1410.3999999999999</v>
      </c>
      <c r="X55" s="237">
        <v>1401.6</v>
      </c>
      <c r="Y55" s="258">
        <v>1379</v>
      </c>
      <c r="Z55" s="257">
        <v>1380.6</v>
      </c>
      <c r="AA55" s="237">
        <v>1414.4</v>
      </c>
      <c r="AB55" s="237">
        <v>1456.9</v>
      </c>
      <c r="AC55" s="258">
        <v>1435.5</v>
      </c>
      <c r="AD55" s="257">
        <v>1511.7</v>
      </c>
      <c r="AE55" s="237">
        <v>1549.4</v>
      </c>
      <c r="AF55" s="237">
        <v>1569.1999999999998</v>
      </c>
      <c r="AG55" s="258">
        <v>1542.6</v>
      </c>
      <c r="AH55" s="237">
        <v>1620.6</v>
      </c>
      <c r="AI55" s="237">
        <v>1670.4</v>
      </c>
      <c r="AJ55" s="237">
        <v>1682.6</v>
      </c>
      <c r="AK55" s="258">
        <v>1632.9</v>
      </c>
      <c r="AL55" s="237">
        <v>1753.6</v>
      </c>
      <c r="AM55" s="237">
        <v>1767</v>
      </c>
      <c r="AN55" s="237">
        <v>1792.9</v>
      </c>
      <c r="AO55" s="258">
        <v>1762.7</v>
      </c>
      <c r="AP55" s="237">
        <v>1855</v>
      </c>
      <c r="AQ55" s="237">
        <v>1925.8</v>
      </c>
    </row>
    <row r="56" spans="1:43" s="7" customFormat="1" ht="12.75">
      <c r="A56" s="56" t="s">
        <v>295</v>
      </c>
      <c r="B56" s="257">
        <f>2832.6+24.2-6</f>
        <v>2850.7999999999997</v>
      </c>
      <c r="C56" s="237">
        <f>3164.4+20.9-6.5</f>
        <v>3178.8</v>
      </c>
      <c r="D56" s="237">
        <f>3589.1+24.7-9.3</f>
        <v>3604.4999999999995</v>
      </c>
      <c r="E56" s="237">
        <f>3969.4-7</f>
        <v>3962.4</v>
      </c>
      <c r="F56" s="257">
        <f>4345-9</f>
        <v>4336</v>
      </c>
      <c r="G56" s="237">
        <f>4828.7-6.1</f>
        <v>4822.599999999999</v>
      </c>
      <c r="H56" s="237">
        <f>5458.7-8.1</f>
        <v>5450.599999999999</v>
      </c>
      <c r="I56" s="258">
        <f>6354.9-5.3</f>
        <v>6349.599999999999</v>
      </c>
      <c r="J56" s="257">
        <f>7065.6-5.4</f>
        <v>7060.200000000001</v>
      </c>
      <c r="K56" s="237">
        <f>7589.2-4.8</f>
        <v>7584.4</v>
      </c>
      <c r="L56" s="237">
        <f>8070.8-5.8</f>
        <v>8065</v>
      </c>
      <c r="M56" s="258">
        <f>8595.8-5.2</f>
        <v>8590.599999999999</v>
      </c>
      <c r="N56" s="257">
        <f>8966.5-7.3</f>
        <v>8959.2</v>
      </c>
      <c r="O56" s="237">
        <f>9802.2-8.4</f>
        <v>9793.800000000001</v>
      </c>
      <c r="P56" s="237">
        <f>10292.6-9.1</f>
        <v>10283.5</v>
      </c>
      <c r="Q56" s="258">
        <v>11367.4</v>
      </c>
      <c r="R56" s="257">
        <v>11928.6</v>
      </c>
      <c r="S56" s="237">
        <v>12662.7</v>
      </c>
      <c r="T56" s="237">
        <v>13444.8</v>
      </c>
      <c r="U56" s="258">
        <v>13985.9</v>
      </c>
      <c r="V56" s="257">
        <v>14199.6</v>
      </c>
      <c r="W56" s="237">
        <v>14738.2</v>
      </c>
      <c r="X56" s="237">
        <v>15230.8</v>
      </c>
      <c r="Y56" s="258">
        <v>15531.1</v>
      </c>
      <c r="Z56" s="257">
        <v>15838.4</v>
      </c>
      <c r="AA56" s="237">
        <v>16571</v>
      </c>
      <c r="AB56" s="237">
        <v>17145</v>
      </c>
      <c r="AC56" s="258">
        <v>17407.1</v>
      </c>
      <c r="AD56" s="257">
        <v>17898.3</v>
      </c>
      <c r="AE56" s="237">
        <v>18671.2</v>
      </c>
      <c r="AF56" s="237">
        <v>19808.199999999997</v>
      </c>
      <c r="AG56" s="258">
        <v>20898.4</v>
      </c>
      <c r="AH56" s="237">
        <v>22152.399999999998</v>
      </c>
      <c r="AI56" s="237">
        <v>23571.4</v>
      </c>
      <c r="AJ56" s="237">
        <v>24536.2</v>
      </c>
      <c r="AK56" s="258">
        <v>25540.6</v>
      </c>
      <c r="AL56" s="237">
        <v>26761.2</v>
      </c>
      <c r="AM56" s="237">
        <v>28561.1</v>
      </c>
      <c r="AN56" s="237">
        <v>29671.7</v>
      </c>
      <c r="AO56" s="258">
        <v>30750.8</v>
      </c>
      <c r="AP56" s="237">
        <v>31892</v>
      </c>
      <c r="AQ56" s="237">
        <v>33307.5</v>
      </c>
    </row>
    <row r="57" spans="1:43" s="4" customFormat="1" ht="12.75">
      <c r="A57" s="38" t="s">
        <v>284</v>
      </c>
      <c r="B57" s="119">
        <v>0</v>
      </c>
      <c r="C57" s="120">
        <v>0</v>
      </c>
      <c r="D57" s="120">
        <v>0</v>
      </c>
      <c r="E57" s="120">
        <v>0</v>
      </c>
      <c r="F57" s="119">
        <v>0</v>
      </c>
      <c r="G57" s="120">
        <v>0</v>
      </c>
      <c r="H57" s="120">
        <v>0</v>
      </c>
      <c r="I57" s="256">
        <v>0</v>
      </c>
      <c r="J57" s="119">
        <v>0</v>
      </c>
      <c r="K57" s="120">
        <v>0</v>
      </c>
      <c r="L57" s="120">
        <v>0</v>
      </c>
      <c r="M57" s="256">
        <v>0</v>
      </c>
      <c r="N57" s="119">
        <v>0</v>
      </c>
      <c r="O57" s="120">
        <v>0</v>
      </c>
      <c r="P57" s="120">
        <v>0</v>
      </c>
      <c r="Q57" s="256">
        <v>0</v>
      </c>
      <c r="R57" s="119">
        <v>0</v>
      </c>
      <c r="S57" s="120">
        <v>0</v>
      </c>
      <c r="T57" s="120">
        <v>0</v>
      </c>
      <c r="U57" s="256">
        <v>0</v>
      </c>
      <c r="V57" s="119">
        <v>32.6</v>
      </c>
      <c r="W57" s="120">
        <v>51.5</v>
      </c>
      <c r="X57" s="120">
        <v>68.9</v>
      </c>
      <c r="Y57" s="256">
        <v>87.9</v>
      </c>
      <c r="Z57" s="119">
        <v>88.1</v>
      </c>
      <c r="AA57" s="120">
        <v>105.4</v>
      </c>
      <c r="AB57" s="120">
        <v>131</v>
      </c>
      <c r="AC57" s="256">
        <v>140.2</v>
      </c>
      <c r="AD57" s="119">
        <v>299</v>
      </c>
      <c r="AE57" s="120">
        <v>339.8</v>
      </c>
      <c r="AF57" s="120">
        <v>375.1</v>
      </c>
      <c r="AG57" s="256">
        <v>424.1</v>
      </c>
      <c r="AH57" s="120">
        <v>444.5</v>
      </c>
      <c r="AI57" s="120">
        <v>499.6</v>
      </c>
      <c r="AJ57" s="120">
        <v>546.3</v>
      </c>
      <c r="AK57" s="256">
        <v>601.9</v>
      </c>
      <c r="AL57" s="120">
        <v>666.4</v>
      </c>
      <c r="AM57" s="120">
        <v>732.9</v>
      </c>
      <c r="AN57" s="120">
        <v>782.6</v>
      </c>
      <c r="AO57" s="256">
        <v>856.5</v>
      </c>
      <c r="AP57" s="120">
        <v>888.5</v>
      </c>
      <c r="AQ57" s="120">
        <v>956.4</v>
      </c>
    </row>
    <row r="58" spans="1:43" s="4" customFormat="1" ht="12.75">
      <c r="A58" s="38" t="s">
        <v>285</v>
      </c>
      <c r="B58" s="119">
        <v>6</v>
      </c>
      <c r="C58" s="120">
        <v>6.5</v>
      </c>
      <c r="D58" s="120">
        <v>9.3</v>
      </c>
      <c r="E58" s="120">
        <v>7</v>
      </c>
      <c r="F58" s="119">
        <v>9</v>
      </c>
      <c r="G58" s="120">
        <v>6.1</v>
      </c>
      <c r="H58" s="120">
        <v>8.1</v>
      </c>
      <c r="I58" s="256">
        <v>5.3</v>
      </c>
      <c r="J58" s="119">
        <v>5.4</v>
      </c>
      <c r="K58" s="120">
        <v>4.8</v>
      </c>
      <c r="L58" s="120">
        <v>5.8</v>
      </c>
      <c r="M58" s="256">
        <v>5.2</v>
      </c>
      <c r="N58" s="119">
        <v>7.3</v>
      </c>
      <c r="O58" s="120">
        <v>8.4</v>
      </c>
      <c r="P58" s="120">
        <v>9.1</v>
      </c>
      <c r="Q58" s="256">
        <v>7.6</v>
      </c>
      <c r="R58" s="119">
        <v>7.1</v>
      </c>
      <c r="S58" s="120">
        <v>15</v>
      </c>
      <c r="T58" s="120">
        <v>18</v>
      </c>
      <c r="U58" s="256">
        <v>18</v>
      </c>
      <c r="V58" s="119">
        <v>16.9</v>
      </c>
      <c r="W58" s="120">
        <v>18.3</v>
      </c>
      <c r="X58" s="120">
        <v>19</v>
      </c>
      <c r="Y58" s="256">
        <v>20.6</v>
      </c>
      <c r="Z58" s="119">
        <v>21.8</v>
      </c>
      <c r="AA58" s="120">
        <v>25.5</v>
      </c>
      <c r="AB58" s="120">
        <v>32.6</v>
      </c>
      <c r="AC58" s="256">
        <v>32.6</v>
      </c>
      <c r="AD58" s="119">
        <v>39.1</v>
      </c>
      <c r="AE58" s="120">
        <v>40.900000000000006</v>
      </c>
      <c r="AF58" s="120">
        <v>39.9</v>
      </c>
      <c r="AG58" s="256">
        <v>50.6</v>
      </c>
      <c r="AH58" s="120">
        <v>56.9</v>
      </c>
      <c r="AI58" s="120">
        <v>59.8</v>
      </c>
      <c r="AJ58" s="120">
        <v>57.4</v>
      </c>
      <c r="AK58" s="256">
        <v>56.1</v>
      </c>
      <c r="AL58" s="120">
        <v>45.2</v>
      </c>
      <c r="AM58" s="120">
        <v>49.4</v>
      </c>
      <c r="AN58" s="120">
        <v>50.1</v>
      </c>
      <c r="AO58" s="256">
        <v>80</v>
      </c>
      <c r="AP58" s="120">
        <v>39.7</v>
      </c>
      <c r="AQ58" s="120">
        <v>46.3</v>
      </c>
    </row>
    <row r="59" spans="1:43" s="4" customFormat="1" ht="12.75">
      <c r="A59" s="38" t="s">
        <v>300</v>
      </c>
      <c r="B59" s="119">
        <v>0</v>
      </c>
      <c r="C59" s="120">
        <v>0</v>
      </c>
      <c r="D59" s="120">
        <v>0</v>
      </c>
      <c r="E59" s="120">
        <v>0</v>
      </c>
      <c r="F59" s="119">
        <v>0</v>
      </c>
      <c r="G59" s="120">
        <v>0</v>
      </c>
      <c r="H59" s="120">
        <v>0</v>
      </c>
      <c r="I59" s="256">
        <v>0</v>
      </c>
      <c r="J59" s="119">
        <v>0</v>
      </c>
      <c r="K59" s="120">
        <v>0</v>
      </c>
      <c r="L59" s="120">
        <v>0</v>
      </c>
      <c r="M59" s="256">
        <v>0</v>
      </c>
      <c r="N59" s="119">
        <v>0</v>
      </c>
      <c r="O59" s="120">
        <v>0.5</v>
      </c>
      <c r="P59" s="120">
        <v>0.5</v>
      </c>
      <c r="Q59" s="256">
        <v>0.5</v>
      </c>
      <c r="R59" s="119">
        <v>0.5</v>
      </c>
      <c r="S59" s="120">
        <v>0.5</v>
      </c>
      <c r="T59" s="120">
        <v>0.5</v>
      </c>
      <c r="U59" s="256">
        <v>0.5</v>
      </c>
      <c r="V59" s="119">
        <v>3</v>
      </c>
      <c r="W59" s="120">
        <v>0.5</v>
      </c>
      <c r="X59" s="120">
        <v>1.2</v>
      </c>
      <c r="Y59" s="256">
        <v>1.3</v>
      </c>
      <c r="Z59" s="119">
        <v>0.8</v>
      </c>
      <c r="AA59" s="120">
        <v>0.5</v>
      </c>
      <c r="AB59" s="120">
        <v>0.5</v>
      </c>
      <c r="AC59" s="256">
        <v>0.5</v>
      </c>
      <c r="AD59" s="119">
        <v>0.5</v>
      </c>
      <c r="AE59" s="120">
        <v>0.5</v>
      </c>
      <c r="AF59" s="120">
        <v>0.5</v>
      </c>
      <c r="AG59" s="256">
        <v>0.5</v>
      </c>
      <c r="AH59" s="120">
        <v>0.5</v>
      </c>
      <c r="AI59" s="120">
        <v>0.5</v>
      </c>
      <c r="AJ59" s="120">
        <v>0.5</v>
      </c>
      <c r="AK59" s="256">
        <v>0.5</v>
      </c>
      <c r="AL59" s="120">
        <v>0.5</v>
      </c>
      <c r="AM59" s="120">
        <v>0.5</v>
      </c>
      <c r="AN59" s="120">
        <v>0.5</v>
      </c>
      <c r="AO59" s="256">
        <v>0</v>
      </c>
      <c r="AP59" s="120">
        <v>0</v>
      </c>
      <c r="AQ59" s="120">
        <v>0</v>
      </c>
    </row>
    <row r="60" spans="1:43" s="317" customFormat="1" ht="12">
      <c r="A60" s="10" t="s">
        <v>135</v>
      </c>
      <c r="B60" s="259">
        <f>SUM(B45,B53)</f>
        <v>11568.6</v>
      </c>
      <c r="C60" s="260">
        <f aca="true" t="shared" si="78" ref="C60:AC60">SUM(C45,C53)</f>
        <v>12462.300000000003</v>
      </c>
      <c r="D60" s="260">
        <f t="shared" si="78"/>
        <v>13262.300000000001</v>
      </c>
      <c r="E60" s="260">
        <f t="shared" si="78"/>
        <v>13900.699999999999</v>
      </c>
      <c r="F60" s="259">
        <f t="shared" si="78"/>
        <v>15386.300000000001</v>
      </c>
      <c r="G60" s="260">
        <f t="shared" si="78"/>
        <v>16592</v>
      </c>
      <c r="H60" s="260">
        <f t="shared" si="78"/>
        <v>18569.5</v>
      </c>
      <c r="I60" s="261">
        <f t="shared" si="78"/>
        <v>20354.6</v>
      </c>
      <c r="J60" s="259">
        <f t="shared" si="78"/>
        <v>21787.1</v>
      </c>
      <c r="K60" s="260">
        <f t="shared" si="78"/>
        <v>22062.1</v>
      </c>
      <c r="L60" s="260">
        <f t="shared" si="78"/>
        <v>22210.699999999997</v>
      </c>
      <c r="M60" s="261">
        <f t="shared" si="78"/>
        <v>22244.3</v>
      </c>
      <c r="N60" s="259">
        <f t="shared" si="78"/>
        <v>22636.3</v>
      </c>
      <c r="O60" s="260">
        <f t="shared" si="78"/>
        <v>23837.5</v>
      </c>
      <c r="P60" s="260">
        <f t="shared" si="78"/>
        <v>25330.300000000003</v>
      </c>
      <c r="Q60" s="261">
        <f t="shared" si="78"/>
        <v>26305.8</v>
      </c>
      <c r="R60" s="259">
        <f t="shared" si="78"/>
        <v>27211.3</v>
      </c>
      <c r="S60" s="260">
        <f t="shared" si="78"/>
        <v>28827.199999999997</v>
      </c>
      <c r="T60" s="260">
        <f t="shared" si="78"/>
        <v>30776.199999999997</v>
      </c>
      <c r="U60" s="261">
        <f t="shared" si="78"/>
        <v>32748.1</v>
      </c>
      <c r="V60" s="259">
        <f t="shared" si="78"/>
        <v>39932.5</v>
      </c>
      <c r="W60" s="260">
        <f t="shared" si="78"/>
        <v>40621.5</v>
      </c>
      <c r="X60" s="260">
        <f t="shared" si="78"/>
        <v>41462.299999999996</v>
      </c>
      <c r="Y60" s="261">
        <f t="shared" si="78"/>
        <v>41072.8</v>
      </c>
      <c r="Z60" s="259">
        <f t="shared" si="78"/>
        <v>41533.2</v>
      </c>
      <c r="AA60" s="260">
        <f t="shared" si="78"/>
        <v>43143.200000000004</v>
      </c>
      <c r="AB60" s="260">
        <f t="shared" si="78"/>
        <v>44759.399999999994</v>
      </c>
      <c r="AC60" s="261">
        <f t="shared" si="78"/>
        <v>44966.899999999994</v>
      </c>
      <c r="AD60" s="259">
        <f aca="true" t="shared" si="79" ref="AD60:AI60">SUM(AD45,AD53)</f>
        <v>47385</v>
      </c>
      <c r="AE60" s="260">
        <f t="shared" si="79"/>
        <v>49947.100000000006</v>
      </c>
      <c r="AF60" s="260">
        <f t="shared" si="79"/>
        <v>52695.2</v>
      </c>
      <c r="AG60" s="261">
        <f t="shared" si="79"/>
        <v>53184.2</v>
      </c>
      <c r="AH60" s="260">
        <f t="shared" si="79"/>
        <v>55905.40000000001</v>
      </c>
      <c r="AI60" s="260">
        <f t="shared" si="79"/>
        <v>60128.899999999994</v>
      </c>
      <c r="AJ60" s="260">
        <f aca="true" t="shared" si="80" ref="AJ60:AQ60">SUM(AJ45,AJ53)</f>
        <v>63422.2</v>
      </c>
      <c r="AK60" s="261">
        <f t="shared" si="80"/>
        <v>63830.3</v>
      </c>
      <c r="AL60" s="260">
        <f t="shared" si="80"/>
        <v>66884.30000000002</v>
      </c>
      <c r="AM60" s="260">
        <f t="shared" si="80"/>
        <v>69797.8</v>
      </c>
      <c r="AN60" s="260">
        <f t="shared" si="80"/>
        <v>72297.2</v>
      </c>
      <c r="AO60" s="261">
        <f t="shared" si="80"/>
        <v>73771</v>
      </c>
      <c r="AP60" s="260">
        <f t="shared" si="80"/>
        <v>76454.3</v>
      </c>
      <c r="AQ60" s="260">
        <f t="shared" si="80"/>
        <v>79087.6</v>
      </c>
    </row>
    <row r="61" spans="1:43" s="4" customFormat="1" ht="12.75">
      <c r="A61" s="38" t="s">
        <v>127</v>
      </c>
      <c r="B61" s="119">
        <f>SUM(B62,B68)</f>
        <v>-632.2</v>
      </c>
      <c r="C61" s="120">
        <f aca="true" t="shared" si="81" ref="C61:AC61">SUM(C62,C68)</f>
        <v>-590.6999999999999</v>
      </c>
      <c r="D61" s="120">
        <f t="shared" si="81"/>
        <v>-521.8</v>
      </c>
      <c r="E61" s="120">
        <f t="shared" si="81"/>
        <v>-526.1</v>
      </c>
      <c r="F61" s="119">
        <f t="shared" si="81"/>
        <v>-539.2</v>
      </c>
      <c r="G61" s="120">
        <f t="shared" si="81"/>
        <v>-372.9</v>
      </c>
      <c r="H61" s="120">
        <f t="shared" si="81"/>
        <v>-393.6</v>
      </c>
      <c r="I61" s="256">
        <f t="shared" si="81"/>
        <v>-482.29999999999995</v>
      </c>
      <c r="J61" s="119">
        <f t="shared" si="81"/>
        <v>-654.1</v>
      </c>
      <c r="K61" s="120">
        <f t="shared" si="81"/>
        <v>-755.8</v>
      </c>
      <c r="L61" s="120">
        <f t="shared" si="81"/>
        <v>-804.9</v>
      </c>
      <c r="M61" s="256">
        <f t="shared" si="81"/>
        <v>-874.1</v>
      </c>
      <c r="N61" s="119">
        <f t="shared" si="81"/>
        <v>-930.9000000000001</v>
      </c>
      <c r="O61" s="120">
        <f t="shared" si="81"/>
        <v>-972.7</v>
      </c>
      <c r="P61" s="120">
        <f t="shared" si="81"/>
        <v>-1037.9</v>
      </c>
      <c r="Q61" s="256">
        <f t="shared" si="81"/>
        <v>-1082</v>
      </c>
      <c r="R61" s="119">
        <f t="shared" si="81"/>
        <v>-1122.7000000000003</v>
      </c>
      <c r="S61" s="120">
        <f t="shared" si="81"/>
        <v>-1140.6000000000001</v>
      </c>
      <c r="T61" s="120">
        <f t="shared" si="81"/>
        <v>-1182.7</v>
      </c>
      <c r="U61" s="256">
        <f t="shared" si="81"/>
        <v>-1112.3</v>
      </c>
      <c r="V61" s="119">
        <f t="shared" si="81"/>
        <v>-1194.9</v>
      </c>
      <c r="W61" s="120">
        <f t="shared" si="81"/>
        <v>-1289.6000000000001</v>
      </c>
      <c r="X61" s="120">
        <f t="shared" si="81"/>
        <v>-1358.7</v>
      </c>
      <c r="Y61" s="256">
        <f t="shared" si="81"/>
        <v>-1427.8000000000002</v>
      </c>
      <c r="Z61" s="119">
        <f t="shared" si="81"/>
        <v>-1473.2000000000003</v>
      </c>
      <c r="AA61" s="120">
        <f t="shared" si="81"/>
        <v>-1573.8</v>
      </c>
      <c r="AB61" s="120">
        <f t="shared" si="81"/>
        <v>-1497.3000000000002</v>
      </c>
      <c r="AC61" s="256">
        <f t="shared" si="81"/>
        <v>-1557.8</v>
      </c>
      <c r="AD61" s="119">
        <f aca="true" t="shared" si="82" ref="AD61:AI61">SUM(AD62,AD68)</f>
        <v>-1640.3999999999999</v>
      </c>
      <c r="AE61" s="120">
        <f t="shared" si="82"/>
        <v>-1614.7000000000003</v>
      </c>
      <c r="AF61" s="120">
        <f t="shared" si="82"/>
        <v>-1664.6000000000004</v>
      </c>
      <c r="AG61" s="256">
        <f t="shared" si="82"/>
        <v>-1723.1</v>
      </c>
      <c r="AH61" s="120">
        <f t="shared" si="82"/>
        <v>-1789.5000000000005</v>
      </c>
      <c r="AI61" s="120">
        <f t="shared" si="82"/>
        <v>-1660.1999999999998</v>
      </c>
      <c r="AJ61" s="120">
        <f aca="true" t="shared" si="83" ref="AJ61:AQ61">SUM(AJ62,AJ68)</f>
        <v>-1503.8000000000002</v>
      </c>
      <c r="AK61" s="256">
        <f t="shared" si="83"/>
        <v>-1544.7</v>
      </c>
      <c r="AL61" s="120">
        <f t="shared" si="83"/>
        <v>-1554.4</v>
      </c>
      <c r="AM61" s="120">
        <f t="shared" si="83"/>
        <v>-1478.4</v>
      </c>
      <c r="AN61" s="120">
        <f t="shared" si="83"/>
        <v>-1452.1</v>
      </c>
      <c r="AO61" s="256">
        <f t="shared" si="83"/>
        <v>-1464.8</v>
      </c>
      <c r="AP61" s="120">
        <f t="shared" si="83"/>
        <v>-1513.5</v>
      </c>
      <c r="AQ61" s="120">
        <f t="shared" si="83"/>
        <v>-1533</v>
      </c>
    </row>
    <row r="62" spans="1:43" s="9" customFormat="1" ht="12.75">
      <c r="A62" s="37" t="s">
        <v>297</v>
      </c>
      <c r="B62" s="253">
        <f>SUM(B63:B67)</f>
        <v>-366.09999999999997</v>
      </c>
      <c r="C62" s="254">
        <f aca="true" t="shared" si="84" ref="C62:AC62">SUM(C63:C67)</f>
        <v>-363.59999999999997</v>
      </c>
      <c r="D62" s="254">
        <f t="shared" si="84"/>
        <v>-304.79999999999995</v>
      </c>
      <c r="E62" s="254">
        <f t="shared" si="84"/>
        <v>-299.90000000000003</v>
      </c>
      <c r="F62" s="253">
        <f t="shared" si="84"/>
        <v>-308.7</v>
      </c>
      <c r="G62" s="254">
        <f t="shared" si="84"/>
        <v>-228.49999999999997</v>
      </c>
      <c r="H62" s="254">
        <f t="shared" si="84"/>
        <v>-244.60000000000002</v>
      </c>
      <c r="I62" s="255">
        <f t="shared" si="84"/>
        <v>-296</v>
      </c>
      <c r="J62" s="253">
        <f t="shared" si="84"/>
        <v>-453.7</v>
      </c>
      <c r="K62" s="254">
        <f t="shared" si="84"/>
        <v>-545.0999999999999</v>
      </c>
      <c r="L62" s="254">
        <f t="shared" si="84"/>
        <v>-569.6</v>
      </c>
      <c r="M62" s="255">
        <f t="shared" si="84"/>
        <v>-617.1</v>
      </c>
      <c r="N62" s="253">
        <f t="shared" si="84"/>
        <v>-655.1</v>
      </c>
      <c r="O62" s="254">
        <f t="shared" si="84"/>
        <v>-684.6</v>
      </c>
      <c r="P62" s="254">
        <f t="shared" si="84"/>
        <v>-736.8000000000001</v>
      </c>
      <c r="Q62" s="255">
        <f t="shared" si="84"/>
        <v>-762.0000000000001</v>
      </c>
      <c r="R62" s="253">
        <f t="shared" si="84"/>
        <v>-771.5000000000001</v>
      </c>
      <c r="S62" s="254">
        <f t="shared" si="84"/>
        <v>-792.2</v>
      </c>
      <c r="T62" s="254">
        <f t="shared" si="84"/>
        <v>-816.2</v>
      </c>
      <c r="U62" s="255">
        <f t="shared" si="84"/>
        <v>-734.8</v>
      </c>
      <c r="V62" s="253">
        <f t="shared" si="84"/>
        <v>-799.1000000000001</v>
      </c>
      <c r="W62" s="254">
        <f t="shared" si="84"/>
        <v>-864.9000000000001</v>
      </c>
      <c r="X62" s="254">
        <f t="shared" si="84"/>
        <v>-912.3</v>
      </c>
      <c r="Y62" s="255">
        <f t="shared" si="84"/>
        <v>-960.6</v>
      </c>
      <c r="Z62" s="253">
        <f t="shared" si="84"/>
        <v>-969.4000000000002</v>
      </c>
      <c r="AA62" s="254">
        <f t="shared" si="84"/>
        <v>-1008.5999999999999</v>
      </c>
      <c r="AB62" s="254">
        <f t="shared" si="84"/>
        <v>-1018.8000000000001</v>
      </c>
      <c r="AC62" s="255">
        <f t="shared" si="84"/>
        <v>-1062.3</v>
      </c>
      <c r="AD62" s="253">
        <f aca="true" t="shared" si="85" ref="AD62:AI62">SUM(AD63:AD67)</f>
        <v>-1104.3999999999999</v>
      </c>
      <c r="AE62" s="254">
        <f t="shared" si="85"/>
        <v>-1065.5000000000002</v>
      </c>
      <c r="AF62" s="254">
        <f t="shared" si="85"/>
        <v>-1093.9</v>
      </c>
      <c r="AG62" s="255">
        <f t="shared" si="85"/>
        <v>-1125.3999999999999</v>
      </c>
      <c r="AH62" s="254">
        <f t="shared" si="85"/>
        <v>-1158.2000000000003</v>
      </c>
      <c r="AI62" s="254">
        <f t="shared" si="85"/>
        <v>-1015.3</v>
      </c>
      <c r="AJ62" s="254">
        <f aca="true" t="shared" si="86" ref="AJ62:AQ62">SUM(AJ63:AJ67)</f>
        <v>-957</v>
      </c>
      <c r="AK62" s="255">
        <f t="shared" si="86"/>
        <v>-989.3000000000001</v>
      </c>
      <c r="AL62" s="254">
        <f t="shared" si="86"/>
        <v>-1022.5</v>
      </c>
      <c r="AM62" s="254">
        <f t="shared" si="86"/>
        <v>-918.1</v>
      </c>
      <c r="AN62" s="254">
        <f t="shared" si="86"/>
        <v>-935.6999999999999</v>
      </c>
      <c r="AO62" s="255">
        <f t="shared" si="86"/>
        <v>-880.1999999999999</v>
      </c>
      <c r="AP62" s="254">
        <f t="shared" si="86"/>
        <v>-890.1999999999999</v>
      </c>
      <c r="AQ62" s="254">
        <f t="shared" si="86"/>
        <v>-873.7</v>
      </c>
    </row>
    <row r="63" spans="1:43" s="7" customFormat="1" ht="12.75">
      <c r="A63" s="117" t="s">
        <v>301</v>
      </c>
      <c r="B63" s="257">
        <v>-341.7</v>
      </c>
      <c r="C63" s="237">
        <v>-339.7</v>
      </c>
      <c r="D63" s="237">
        <v>-281.7</v>
      </c>
      <c r="E63" s="237">
        <v>-277.3</v>
      </c>
      <c r="F63" s="257">
        <v>-285.9</v>
      </c>
      <c r="G63" s="237">
        <v>-219.49999999999997</v>
      </c>
      <c r="H63" s="237">
        <v>-235.50000000000003</v>
      </c>
      <c r="I63" s="258">
        <v>-286.6</v>
      </c>
      <c r="J63" s="257">
        <v>-443.2</v>
      </c>
      <c r="K63" s="237">
        <v>-534.8</v>
      </c>
      <c r="L63" s="237">
        <v>-558.8000000000001</v>
      </c>
      <c r="M63" s="258">
        <v>-605.6</v>
      </c>
      <c r="N63" s="257">
        <v>-642.6</v>
      </c>
      <c r="O63" s="237">
        <v>-671.8000000000001</v>
      </c>
      <c r="P63" s="237">
        <v>-727.8000000000001</v>
      </c>
      <c r="Q63" s="258">
        <v>-756.1</v>
      </c>
      <c r="R63" s="257">
        <v>-765.7</v>
      </c>
      <c r="S63" s="237">
        <v>-786.0999999999999</v>
      </c>
      <c r="T63" s="237">
        <v>-809.2</v>
      </c>
      <c r="U63" s="258">
        <v>-728.0999999999999</v>
      </c>
      <c r="V63" s="257">
        <v>-725.3000000000001</v>
      </c>
      <c r="W63" s="237">
        <v>-761.4000000000001</v>
      </c>
      <c r="X63" s="237">
        <v>-788.0999999999999</v>
      </c>
      <c r="Y63" s="258">
        <v>-820.2</v>
      </c>
      <c r="Z63" s="257">
        <v>-834.8000000000001</v>
      </c>
      <c r="AA63" s="237">
        <v>-872.5</v>
      </c>
      <c r="AB63" s="237">
        <v>-881.8</v>
      </c>
      <c r="AC63" s="258">
        <v>-985.6</v>
      </c>
      <c r="AD63" s="257">
        <v>-1022.5</v>
      </c>
      <c r="AE63" s="237">
        <v>-979.1</v>
      </c>
      <c r="AF63" s="237">
        <v>-1012.8</v>
      </c>
      <c r="AG63" s="258">
        <v>-1040</v>
      </c>
      <c r="AH63" s="237">
        <v>-1047.7</v>
      </c>
      <c r="AI63" s="237">
        <v>-896.9</v>
      </c>
      <c r="AJ63" s="237">
        <v>-831</v>
      </c>
      <c r="AK63" s="258">
        <v>-836.1</v>
      </c>
      <c r="AL63" s="237">
        <v>-834.5</v>
      </c>
      <c r="AM63" s="237">
        <v>-851.3</v>
      </c>
      <c r="AN63" s="237">
        <v>-869.3</v>
      </c>
      <c r="AO63" s="258">
        <v>-792.9</v>
      </c>
      <c r="AP63" s="237">
        <v>-813.3</v>
      </c>
      <c r="AQ63" s="237">
        <v>-813</v>
      </c>
    </row>
    <row r="64" spans="1:43" s="7" customFormat="1" ht="12.75">
      <c r="A64" s="117" t="s">
        <v>302</v>
      </c>
      <c r="B64" s="257">
        <v>0</v>
      </c>
      <c r="C64" s="237">
        <v>0</v>
      </c>
      <c r="D64" s="237">
        <v>0</v>
      </c>
      <c r="E64" s="237">
        <v>0</v>
      </c>
      <c r="F64" s="257">
        <v>0</v>
      </c>
      <c r="G64" s="237">
        <v>0</v>
      </c>
      <c r="H64" s="237">
        <v>0</v>
      </c>
      <c r="I64" s="258">
        <v>0</v>
      </c>
      <c r="J64" s="257">
        <v>0</v>
      </c>
      <c r="K64" s="237">
        <v>0</v>
      </c>
      <c r="L64" s="237">
        <v>0</v>
      </c>
      <c r="M64" s="258">
        <v>0</v>
      </c>
      <c r="N64" s="257">
        <v>0</v>
      </c>
      <c r="O64" s="237">
        <v>0</v>
      </c>
      <c r="P64" s="237">
        <v>0</v>
      </c>
      <c r="Q64" s="258">
        <v>0</v>
      </c>
      <c r="R64" s="257">
        <v>0</v>
      </c>
      <c r="S64" s="237">
        <v>0</v>
      </c>
      <c r="T64" s="237">
        <v>0</v>
      </c>
      <c r="U64" s="258">
        <v>0</v>
      </c>
      <c r="V64" s="257">
        <v>-62.5</v>
      </c>
      <c r="W64" s="237">
        <v>-61.6</v>
      </c>
      <c r="X64" s="237">
        <v>-67.9</v>
      </c>
      <c r="Y64" s="258">
        <v>-69.1</v>
      </c>
      <c r="Z64" s="257">
        <v>-63.2</v>
      </c>
      <c r="AA64" s="237">
        <v>-59.8</v>
      </c>
      <c r="AB64" s="237">
        <v>-54.199999999999996</v>
      </c>
      <c r="AC64" s="258">
        <v>-59.5</v>
      </c>
      <c r="AD64" s="257">
        <v>-62</v>
      </c>
      <c r="AE64" s="237">
        <v>-63.8</v>
      </c>
      <c r="AF64" s="237">
        <v>-63</v>
      </c>
      <c r="AG64" s="258">
        <v>-61.3</v>
      </c>
      <c r="AH64" s="237">
        <v>-51.199999999999996</v>
      </c>
      <c r="AI64" s="237">
        <v>-42.7</v>
      </c>
      <c r="AJ64" s="237">
        <v>-36.4</v>
      </c>
      <c r="AK64" s="258">
        <v>-37.9</v>
      </c>
      <c r="AL64" s="237">
        <v>-41.3</v>
      </c>
      <c r="AM64" s="237">
        <v>-46.9</v>
      </c>
      <c r="AN64" s="237">
        <v>-44.9</v>
      </c>
      <c r="AO64" s="258">
        <v>-48.8</v>
      </c>
      <c r="AP64" s="237">
        <v>-38.9</v>
      </c>
      <c r="AQ64" s="237">
        <v>-26.6</v>
      </c>
    </row>
    <row r="65" spans="1:43" s="7" customFormat="1" ht="12.75">
      <c r="A65" s="117" t="s">
        <v>303</v>
      </c>
      <c r="B65" s="257">
        <v>-1.4</v>
      </c>
      <c r="C65" s="237">
        <v>-1.4</v>
      </c>
      <c r="D65" s="237">
        <v>-1.2</v>
      </c>
      <c r="E65" s="237">
        <v>-1.1</v>
      </c>
      <c r="F65" s="257">
        <v>-1.3</v>
      </c>
      <c r="G65" s="237">
        <v>-0.9</v>
      </c>
      <c r="H65" s="237">
        <v>-1.1</v>
      </c>
      <c r="I65" s="258">
        <v>-1.4</v>
      </c>
      <c r="J65" s="257">
        <v>-2.5</v>
      </c>
      <c r="K65" s="237">
        <v>-1.8</v>
      </c>
      <c r="L65" s="237">
        <v>-1.9</v>
      </c>
      <c r="M65" s="258">
        <v>-1.5</v>
      </c>
      <c r="N65" s="257">
        <v>-1.2</v>
      </c>
      <c r="O65" s="237">
        <v>-1.5</v>
      </c>
      <c r="P65" s="237">
        <v>-1.3</v>
      </c>
      <c r="Q65" s="258">
        <v>-1.1</v>
      </c>
      <c r="R65" s="257">
        <v>-1</v>
      </c>
      <c r="S65" s="237">
        <v>-1.2</v>
      </c>
      <c r="T65" s="237">
        <v>-2</v>
      </c>
      <c r="U65" s="258">
        <v>-1.9</v>
      </c>
      <c r="V65" s="257">
        <v>-6.499999999999999</v>
      </c>
      <c r="W65" s="237">
        <v>-4.9</v>
      </c>
      <c r="X65" s="237">
        <v>-5.1</v>
      </c>
      <c r="Y65" s="258">
        <v>-8.8</v>
      </c>
      <c r="Z65" s="257">
        <v>-7.699999999999999</v>
      </c>
      <c r="AA65" s="237">
        <v>-7.800000000000001</v>
      </c>
      <c r="AB65" s="237">
        <v>-9.1</v>
      </c>
      <c r="AC65" s="258">
        <v>-11.7</v>
      </c>
      <c r="AD65" s="257">
        <v>-14.099999999999998</v>
      </c>
      <c r="AE65" s="237">
        <v>-16.900000000000002</v>
      </c>
      <c r="AF65" s="237">
        <v>-12.2</v>
      </c>
      <c r="AG65" s="258">
        <v>-13.8</v>
      </c>
      <c r="AH65" s="237">
        <v>-14.9</v>
      </c>
      <c r="AI65" s="237">
        <v>-13.9</v>
      </c>
      <c r="AJ65" s="237">
        <v>-11.9</v>
      </c>
      <c r="AK65" s="258">
        <v>-12.200000000000001</v>
      </c>
      <c r="AL65" s="237">
        <v>-17</v>
      </c>
      <c r="AM65" s="237">
        <v>-19.2</v>
      </c>
      <c r="AN65" s="237">
        <v>-20.6</v>
      </c>
      <c r="AO65" s="258">
        <v>-21.9</v>
      </c>
      <c r="AP65" s="237">
        <v>-22.1</v>
      </c>
      <c r="AQ65" s="237">
        <v>-18.5</v>
      </c>
    </row>
    <row r="66" spans="1:43" s="7" customFormat="1" ht="12.75">
      <c r="A66" s="117" t="s">
        <v>346</v>
      </c>
      <c r="B66" s="257">
        <v>-15</v>
      </c>
      <c r="C66" s="237">
        <v>-14.5</v>
      </c>
      <c r="D66" s="237">
        <v>-13.9</v>
      </c>
      <c r="E66" s="237">
        <v>-13.5</v>
      </c>
      <c r="F66" s="257">
        <v>-13.5</v>
      </c>
      <c r="G66" s="237">
        <v>-0.1</v>
      </c>
      <c r="H66" s="237">
        <v>0</v>
      </c>
      <c r="I66" s="258">
        <v>0</v>
      </c>
      <c r="J66" s="257">
        <v>0</v>
      </c>
      <c r="K66" s="237">
        <v>-0.5</v>
      </c>
      <c r="L66" s="237">
        <v>-0.9</v>
      </c>
      <c r="M66" s="258">
        <v>-2</v>
      </c>
      <c r="N66" s="257">
        <v>-3.3</v>
      </c>
      <c r="O66" s="237">
        <v>-3.3</v>
      </c>
      <c r="P66" s="237">
        <v>-3.1</v>
      </c>
      <c r="Q66" s="258">
        <v>-0.2</v>
      </c>
      <c r="R66" s="257">
        <v>-0.2</v>
      </c>
      <c r="S66" s="237">
        <v>-0.2</v>
      </c>
      <c r="T66" s="237">
        <v>-0.3</v>
      </c>
      <c r="U66" s="258">
        <v>-0.2</v>
      </c>
      <c r="V66" s="257">
        <v>-0.2</v>
      </c>
      <c r="W66" s="237">
        <v>-32.3</v>
      </c>
      <c r="X66" s="237">
        <v>-46.5</v>
      </c>
      <c r="Y66" s="258">
        <v>-57.8</v>
      </c>
      <c r="Z66" s="257">
        <v>-59</v>
      </c>
      <c r="AA66" s="237">
        <v>-63.800000000000004</v>
      </c>
      <c r="AB66" s="237">
        <v>-69</v>
      </c>
      <c r="AC66" s="258">
        <v>-0.8</v>
      </c>
      <c r="AD66" s="257">
        <v>-1.1</v>
      </c>
      <c r="AE66" s="237">
        <v>-1</v>
      </c>
      <c r="AF66" s="237">
        <v>-1.2</v>
      </c>
      <c r="AG66" s="258">
        <v>-5.6</v>
      </c>
      <c r="AH66" s="237">
        <v>-44.400000000000006</v>
      </c>
      <c r="AI66" s="237">
        <v>-61.8</v>
      </c>
      <c r="AJ66" s="237">
        <v>-77.7</v>
      </c>
      <c r="AK66" s="258">
        <v>-103.1</v>
      </c>
      <c r="AL66" s="237">
        <v>-129.7</v>
      </c>
      <c r="AM66" s="237">
        <v>-0.7</v>
      </c>
      <c r="AN66" s="237">
        <v>-0.9</v>
      </c>
      <c r="AO66" s="258">
        <v>-16.6</v>
      </c>
      <c r="AP66" s="237">
        <v>-15.9</v>
      </c>
      <c r="AQ66" s="237">
        <v>-15.6</v>
      </c>
    </row>
    <row r="67" spans="1:43" s="7" customFormat="1" ht="12.75">
      <c r="A67" s="117" t="s">
        <v>304</v>
      </c>
      <c r="B67" s="257">
        <v>-8</v>
      </c>
      <c r="C67" s="237">
        <v>-8</v>
      </c>
      <c r="D67" s="237">
        <v>-8</v>
      </c>
      <c r="E67" s="237">
        <v>-8</v>
      </c>
      <c r="F67" s="257">
        <v>-8</v>
      </c>
      <c r="G67" s="237">
        <v>-8</v>
      </c>
      <c r="H67" s="237">
        <v>-8</v>
      </c>
      <c r="I67" s="258">
        <v>-8</v>
      </c>
      <c r="J67" s="257">
        <v>-8</v>
      </c>
      <c r="K67" s="237">
        <v>-8</v>
      </c>
      <c r="L67" s="237">
        <v>-8</v>
      </c>
      <c r="M67" s="258">
        <v>-8</v>
      </c>
      <c r="N67" s="257">
        <v>-8</v>
      </c>
      <c r="O67" s="237">
        <v>-8</v>
      </c>
      <c r="P67" s="237">
        <v>-4.6</v>
      </c>
      <c r="Q67" s="258">
        <v>-4.6</v>
      </c>
      <c r="R67" s="257">
        <v>-4.6</v>
      </c>
      <c r="S67" s="237">
        <v>-4.7</v>
      </c>
      <c r="T67" s="237">
        <v>-4.7</v>
      </c>
      <c r="U67" s="258">
        <v>-4.6</v>
      </c>
      <c r="V67" s="257">
        <v>-4.6</v>
      </c>
      <c r="W67" s="237">
        <v>-4.7</v>
      </c>
      <c r="X67" s="237">
        <v>-4.7</v>
      </c>
      <c r="Y67" s="258">
        <v>-4.7</v>
      </c>
      <c r="Z67" s="257">
        <v>-4.7</v>
      </c>
      <c r="AA67" s="237">
        <v>-4.7</v>
      </c>
      <c r="AB67" s="237">
        <v>-4.7</v>
      </c>
      <c r="AC67" s="258">
        <v>-4.7</v>
      </c>
      <c r="AD67" s="257">
        <v>-4.7</v>
      </c>
      <c r="AE67" s="237">
        <v>-4.7</v>
      </c>
      <c r="AF67" s="237">
        <v>-4.7</v>
      </c>
      <c r="AG67" s="258">
        <v>-4.7</v>
      </c>
      <c r="AH67" s="237">
        <v>0</v>
      </c>
      <c r="AI67" s="237">
        <v>0</v>
      </c>
      <c r="AJ67" s="237">
        <v>0</v>
      </c>
      <c r="AK67" s="258">
        <v>0</v>
      </c>
      <c r="AL67" s="237">
        <v>0</v>
      </c>
      <c r="AM67" s="237">
        <v>0</v>
      </c>
      <c r="AN67" s="237">
        <v>0</v>
      </c>
      <c r="AO67" s="258">
        <v>0</v>
      </c>
      <c r="AP67" s="237">
        <v>0</v>
      </c>
      <c r="AQ67" s="237">
        <v>0</v>
      </c>
    </row>
    <row r="68" spans="1:43" s="9" customFormat="1" ht="12.75">
      <c r="A68" s="252" t="s">
        <v>298</v>
      </c>
      <c r="B68" s="253">
        <f>SUM(B69:B72)</f>
        <v>-266.1</v>
      </c>
      <c r="C68" s="254">
        <f aca="true" t="shared" si="87" ref="C68:AC68">SUM(C69:C72)</f>
        <v>-227.1</v>
      </c>
      <c r="D68" s="254">
        <f t="shared" si="87"/>
        <v>-216.99999999999997</v>
      </c>
      <c r="E68" s="254">
        <f t="shared" si="87"/>
        <v>-226.20000000000002</v>
      </c>
      <c r="F68" s="253">
        <f t="shared" si="87"/>
        <v>-230.5</v>
      </c>
      <c r="G68" s="254">
        <f t="shared" si="87"/>
        <v>-144.4</v>
      </c>
      <c r="H68" s="254">
        <f t="shared" si="87"/>
        <v>-149</v>
      </c>
      <c r="I68" s="255">
        <f t="shared" si="87"/>
        <v>-186.29999999999998</v>
      </c>
      <c r="J68" s="253">
        <f t="shared" si="87"/>
        <v>-200.4</v>
      </c>
      <c r="K68" s="254">
        <f t="shared" si="87"/>
        <v>-210.7</v>
      </c>
      <c r="L68" s="254">
        <f t="shared" si="87"/>
        <v>-235.29999999999998</v>
      </c>
      <c r="M68" s="255">
        <f t="shared" si="87"/>
        <v>-257</v>
      </c>
      <c r="N68" s="253">
        <f t="shared" si="87"/>
        <v>-275.8</v>
      </c>
      <c r="O68" s="254">
        <f t="shared" si="87"/>
        <v>-288.1</v>
      </c>
      <c r="P68" s="254">
        <f t="shared" si="87"/>
        <v>-301.1</v>
      </c>
      <c r="Q68" s="255">
        <f t="shared" si="87"/>
        <v>-320</v>
      </c>
      <c r="R68" s="253">
        <f t="shared" si="87"/>
        <v>-351.20000000000005</v>
      </c>
      <c r="S68" s="254">
        <f t="shared" si="87"/>
        <v>-348.40000000000003</v>
      </c>
      <c r="T68" s="254">
        <f t="shared" si="87"/>
        <v>-366.5</v>
      </c>
      <c r="U68" s="255">
        <f t="shared" si="87"/>
        <v>-377.50000000000006</v>
      </c>
      <c r="V68" s="253">
        <f t="shared" si="87"/>
        <v>-395.8</v>
      </c>
      <c r="W68" s="254">
        <f t="shared" si="87"/>
        <v>-424.7</v>
      </c>
      <c r="X68" s="254">
        <f t="shared" si="87"/>
        <v>-446.40000000000003</v>
      </c>
      <c r="Y68" s="255">
        <f t="shared" si="87"/>
        <v>-467.20000000000005</v>
      </c>
      <c r="Z68" s="253">
        <f t="shared" si="87"/>
        <v>-503.8</v>
      </c>
      <c r="AA68" s="254">
        <f t="shared" si="87"/>
        <v>-565.2</v>
      </c>
      <c r="AB68" s="254">
        <f t="shared" si="87"/>
        <v>-478.5</v>
      </c>
      <c r="AC68" s="255">
        <f t="shared" si="87"/>
        <v>-495.5</v>
      </c>
      <c r="AD68" s="253">
        <f aca="true" t="shared" si="88" ref="AD68:AI68">SUM(AD69:AD72)</f>
        <v>-536</v>
      </c>
      <c r="AE68" s="254">
        <f t="shared" si="88"/>
        <v>-549.1999999999999</v>
      </c>
      <c r="AF68" s="254">
        <f t="shared" si="88"/>
        <v>-570.7000000000002</v>
      </c>
      <c r="AG68" s="255">
        <f t="shared" si="88"/>
        <v>-597.7</v>
      </c>
      <c r="AH68" s="254">
        <f t="shared" si="88"/>
        <v>-631.3000000000001</v>
      </c>
      <c r="AI68" s="254">
        <f t="shared" si="88"/>
        <v>-644.9</v>
      </c>
      <c r="AJ68" s="254">
        <f aca="true" t="shared" si="89" ref="AJ68:AQ68">SUM(AJ69:AJ72)</f>
        <v>-546.8000000000001</v>
      </c>
      <c r="AK68" s="255">
        <f t="shared" si="89"/>
        <v>-555.4</v>
      </c>
      <c r="AL68" s="254">
        <f t="shared" si="89"/>
        <v>-531.9</v>
      </c>
      <c r="AM68" s="254">
        <f t="shared" si="89"/>
        <v>-560.3</v>
      </c>
      <c r="AN68" s="254">
        <f t="shared" si="89"/>
        <v>-516.4000000000001</v>
      </c>
      <c r="AO68" s="255">
        <f t="shared" si="89"/>
        <v>-584.6</v>
      </c>
      <c r="AP68" s="254">
        <f t="shared" si="89"/>
        <v>-623.3</v>
      </c>
      <c r="AQ68" s="254">
        <f t="shared" si="89"/>
        <v>-659.3000000000001</v>
      </c>
    </row>
    <row r="69" spans="1:43" s="7" customFormat="1" ht="12.75">
      <c r="A69" s="117" t="s">
        <v>301</v>
      </c>
      <c r="B69" s="257">
        <v>-264.3</v>
      </c>
      <c r="C69" s="237">
        <v>-225.3</v>
      </c>
      <c r="D69" s="237">
        <v>-215.2</v>
      </c>
      <c r="E69" s="237">
        <v>-224.3</v>
      </c>
      <c r="F69" s="257">
        <v>-228.6</v>
      </c>
      <c r="G69" s="237">
        <v>-142.8</v>
      </c>
      <c r="H69" s="237">
        <v>-147.4</v>
      </c>
      <c r="I69" s="258">
        <v>-184.7</v>
      </c>
      <c r="J69" s="257">
        <v>-198.8</v>
      </c>
      <c r="K69" s="237">
        <v>-209.1</v>
      </c>
      <c r="L69" s="237">
        <v>-233.7</v>
      </c>
      <c r="M69" s="258">
        <v>-255.4</v>
      </c>
      <c r="N69" s="257">
        <v>-274.2</v>
      </c>
      <c r="O69" s="237">
        <v>-286.5</v>
      </c>
      <c r="P69" s="237">
        <v>-299.5</v>
      </c>
      <c r="Q69" s="258">
        <v>-318.4</v>
      </c>
      <c r="R69" s="257">
        <v>-349.5</v>
      </c>
      <c r="S69" s="237">
        <v>-346.8</v>
      </c>
      <c r="T69" s="237">
        <v>-364.8</v>
      </c>
      <c r="U69" s="258">
        <v>-375.8</v>
      </c>
      <c r="V69" s="257">
        <v>-394</v>
      </c>
      <c r="W69" s="237">
        <v>-422.8</v>
      </c>
      <c r="X69" s="237">
        <v>-444.5</v>
      </c>
      <c r="Y69" s="258">
        <v>-465.8</v>
      </c>
      <c r="Z69" s="257">
        <v>-502.6</v>
      </c>
      <c r="AA69" s="237">
        <v>-563.7</v>
      </c>
      <c r="AB69" s="237">
        <v>-477.5</v>
      </c>
      <c r="AC69" s="258">
        <v>-494.6</v>
      </c>
      <c r="AD69" s="257">
        <v>-534.9</v>
      </c>
      <c r="AE69" s="237">
        <v>-547.8</v>
      </c>
      <c r="AF69" s="237">
        <v>-569.3000000000001</v>
      </c>
      <c r="AG69" s="258">
        <v>-596.3000000000001</v>
      </c>
      <c r="AH69" s="237">
        <v>-629.9000000000001</v>
      </c>
      <c r="AI69" s="237">
        <v>-643.4</v>
      </c>
      <c r="AJ69" s="237">
        <v>-544.2</v>
      </c>
      <c r="AK69" s="258">
        <v>-553.3</v>
      </c>
      <c r="AL69" s="237">
        <v>-529.5</v>
      </c>
      <c r="AM69" s="237">
        <v>-557.3</v>
      </c>
      <c r="AN69" s="237">
        <v>-513.7</v>
      </c>
      <c r="AO69" s="258">
        <v>-582.1</v>
      </c>
      <c r="AP69" s="237">
        <v>-620.4</v>
      </c>
      <c r="AQ69" s="237">
        <v>-655.7</v>
      </c>
    </row>
    <row r="70" spans="1:43" s="7" customFormat="1" ht="12.75">
      <c r="A70" s="56" t="s">
        <v>302</v>
      </c>
      <c r="B70" s="257">
        <v>0</v>
      </c>
      <c r="C70" s="237">
        <v>0</v>
      </c>
      <c r="D70" s="237">
        <v>0</v>
      </c>
      <c r="E70" s="237">
        <v>0</v>
      </c>
      <c r="F70" s="257">
        <v>0</v>
      </c>
      <c r="G70" s="237">
        <v>0</v>
      </c>
      <c r="H70" s="237">
        <v>0</v>
      </c>
      <c r="I70" s="258">
        <v>0</v>
      </c>
      <c r="J70" s="257">
        <v>0</v>
      </c>
      <c r="K70" s="237">
        <v>0</v>
      </c>
      <c r="L70" s="237">
        <v>0</v>
      </c>
      <c r="M70" s="258">
        <v>0</v>
      </c>
      <c r="N70" s="257">
        <v>0</v>
      </c>
      <c r="O70" s="237">
        <v>0</v>
      </c>
      <c r="P70" s="237">
        <v>0</v>
      </c>
      <c r="Q70" s="258">
        <v>0</v>
      </c>
      <c r="R70" s="257">
        <v>0</v>
      </c>
      <c r="S70" s="237">
        <v>0</v>
      </c>
      <c r="T70" s="237">
        <v>0</v>
      </c>
      <c r="U70" s="258">
        <v>0</v>
      </c>
      <c r="V70" s="257">
        <v>-0.2</v>
      </c>
      <c r="W70" s="237">
        <v>-0.2</v>
      </c>
      <c r="X70" s="237">
        <v>-0.3</v>
      </c>
      <c r="Y70" s="258">
        <v>-0.3</v>
      </c>
      <c r="Z70" s="257">
        <v>-0.2</v>
      </c>
      <c r="AA70" s="237">
        <v>-0.2</v>
      </c>
      <c r="AB70" s="237">
        <f>-0.2</f>
        <v>-0.2</v>
      </c>
      <c r="AC70" s="258">
        <v>-0.2</v>
      </c>
      <c r="AD70" s="257">
        <v>-0.6</v>
      </c>
      <c r="AE70" s="237">
        <v>-0.8</v>
      </c>
      <c r="AF70" s="237">
        <v>-0.7</v>
      </c>
      <c r="AG70" s="258">
        <v>-0.8</v>
      </c>
      <c r="AH70" s="237">
        <v>-0.8</v>
      </c>
      <c r="AI70" s="237">
        <v>-0.9</v>
      </c>
      <c r="AJ70" s="237">
        <v>-2</v>
      </c>
      <c r="AK70" s="258">
        <v>-1.5</v>
      </c>
      <c r="AL70" s="237">
        <v>-1.8</v>
      </c>
      <c r="AM70" s="237">
        <v>-1.9</v>
      </c>
      <c r="AN70" s="237">
        <v>-1.5</v>
      </c>
      <c r="AO70" s="258">
        <v>-1.6</v>
      </c>
      <c r="AP70" s="237">
        <v>-2</v>
      </c>
      <c r="AQ70" s="237">
        <v>-2.2</v>
      </c>
    </row>
    <row r="71" spans="1:43" s="7" customFormat="1" ht="12.75">
      <c r="A71" s="56" t="s">
        <v>303</v>
      </c>
      <c r="B71" s="257">
        <v>-1.2</v>
      </c>
      <c r="C71" s="237">
        <v>-1.2</v>
      </c>
      <c r="D71" s="237">
        <v>-1.2</v>
      </c>
      <c r="E71" s="237">
        <v>-1.3</v>
      </c>
      <c r="F71" s="257">
        <v>-1.3</v>
      </c>
      <c r="G71" s="237">
        <v>-1</v>
      </c>
      <c r="H71" s="237">
        <v>-1</v>
      </c>
      <c r="I71" s="258">
        <v>-1</v>
      </c>
      <c r="J71" s="257">
        <v>-1</v>
      </c>
      <c r="K71" s="237">
        <v>-1</v>
      </c>
      <c r="L71" s="237">
        <v>-1</v>
      </c>
      <c r="M71" s="258">
        <v>-1</v>
      </c>
      <c r="N71" s="257">
        <v>-1</v>
      </c>
      <c r="O71" s="237">
        <v>-1</v>
      </c>
      <c r="P71" s="237">
        <v>-1</v>
      </c>
      <c r="Q71" s="258">
        <v>-1</v>
      </c>
      <c r="R71" s="257">
        <v>-1.1</v>
      </c>
      <c r="S71" s="237">
        <v>-1.1</v>
      </c>
      <c r="T71" s="237">
        <v>-1.2</v>
      </c>
      <c r="U71" s="258">
        <v>-1.1</v>
      </c>
      <c r="V71" s="257">
        <v>-1.1</v>
      </c>
      <c r="W71" s="237">
        <v>-1.2</v>
      </c>
      <c r="X71" s="237">
        <v>-1.1</v>
      </c>
      <c r="Y71" s="258">
        <v>-0.6</v>
      </c>
      <c r="Z71" s="257">
        <v>-0.5</v>
      </c>
      <c r="AA71" s="237">
        <v>-0.8</v>
      </c>
      <c r="AB71" s="237">
        <v>-0.3</v>
      </c>
      <c r="AC71" s="258">
        <v>-0.2</v>
      </c>
      <c r="AD71" s="257">
        <v>0</v>
      </c>
      <c r="AE71" s="237">
        <v>-0.1</v>
      </c>
      <c r="AF71" s="237">
        <v>-0.2</v>
      </c>
      <c r="AG71" s="258">
        <v>-0.1</v>
      </c>
      <c r="AH71" s="237">
        <v>-0.1</v>
      </c>
      <c r="AI71" s="237">
        <v>-0.1</v>
      </c>
      <c r="AJ71" s="237">
        <v>-0.1</v>
      </c>
      <c r="AK71" s="258">
        <v>-0.1</v>
      </c>
      <c r="AL71" s="237">
        <v>-0.1</v>
      </c>
      <c r="AM71" s="237">
        <v>-0.6</v>
      </c>
      <c r="AN71" s="237">
        <v>-0.7</v>
      </c>
      <c r="AO71" s="258">
        <v>-0.9</v>
      </c>
      <c r="AP71" s="237">
        <v>-0.9</v>
      </c>
      <c r="AQ71" s="237">
        <v>-1.4</v>
      </c>
    </row>
    <row r="72" spans="1:43" s="7" customFormat="1" ht="12.75">
      <c r="A72" s="140" t="s">
        <v>304</v>
      </c>
      <c r="B72" s="257">
        <v>-0.5999999999999996</v>
      </c>
      <c r="C72" s="237">
        <v>-0.5999999999999996</v>
      </c>
      <c r="D72" s="237">
        <v>-0.5999999999999996</v>
      </c>
      <c r="E72" s="237">
        <v>-0.5999999999999996</v>
      </c>
      <c r="F72" s="257">
        <v>-0.5999999999999996</v>
      </c>
      <c r="G72" s="237">
        <v>-0.5999999999999996</v>
      </c>
      <c r="H72" s="237">
        <v>-0.5999999999999996</v>
      </c>
      <c r="I72" s="237">
        <v>-0.5999999999999996</v>
      </c>
      <c r="J72" s="257">
        <v>-0.5999999999999996</v>
      </c>
      <c r="K72" s="237">
        <v>-0.5999999999999996</v>
      </c>
      <c r="L72" s="237">
        <v>-0.5999999999999996</v>
      </c>
      <c r="M72" s="258">
        <v>-0.5999999999999996</v>
      </c>
      <c r="N72" s="257">
        <v>-0.5999999999999996</v>
      </c>
      <c r="O72" s="237">
        <v>-0.5999999999999996</v>
      </c>
      <c r="P72" s="237">
        <v>-0.6000000000000005</v>
      </c>
      <c r="Q72" s="258">
        <v>-0.6000000000000005</v>
      </c>
      <c r="R72" s="257">
        <v>-0.6000000000000005</v>
      </c>
      <c r="S72" s="237">
        <v>-0.5</v>
      </c>
      <c r="T72" s="237">
        <v>-0.5</v>
      </c>
      <c r="U72" s="258">
        <v>-0.6000000000000005</v>
      </c>
      <c r="V72" s="257">
        <v>-0.5</v>
      </c>
      <c r="W72" s="237">
        <v>-0.5</v>
      </c>
      <c r="X72" s="237">
        <v>-0.5</v>
      </c>
      <c r="Y72" s="258">
        <v>-0.5</v>
      </c>
      <c r="Z72" s="257">
        <v>-0.5</v>
      </c>
      <c r="AA72" s="237">
        <v>-0.5</v>
      </c>
      <c r="AB72" s="237">
        <v>-0.5</v>
      </c>
      <c r="AC72" s="258">
        <v>-0.5</v>
      </c>
      <c r="AD72" s="257">
        <v>-0.5</v>
      </c>
      <c r="AE72" s="237">
        <v>-0.5</v>
      </c>
      <c r="AF72" s="237">
        <v>-0.5</v>
      </c>
      <c r="AG72" s="258">
        <v>-0.5</v>
      </c>
      <c r="AH72" s="237">
        <v>-0.5</v>
      </c>
      <c r="AI72" s="237">
        <v>-0.5</v>
      </c>
      <c r="AJ72" s="237">
        <v>-0.5</v>
      </c>
      <c r="AK72" s="258">
        <v>-0.5</v>
      </c>
      <c r="AL72" s="237">
        <v>-0.5</v>
      </c>
      <c r="AM72" s="237">
        <v>-0.5</v>
      </c>
      <c r="AN72" s="237">
        <v>-0.5</v>
      </c>
      <c r="AO72" s="258">
        <v>0</v>
      </c>
      <c r="AP72" s="237">
        <v>0</v>
      </c>
      <c r="AQ72" s="237">
        <v>0</v>
      </c>
    </row>
    <row r="73" spans="1:43" s="13" customFormat="1" ht="16.5" customHeight="1">
      <c r="A73" s="98" t="s">
        <v>136</v>
      </c>
      <c r="B73" s="262">
        <f aca="true" t="shared" si="90" ref="B73:AC73">B60+B61</f>
        <v>10936.4</v>
      </c>
      <c r="C73" s="263">
        <f t="shared" si="90"/>
        <v>11871.600000000002</v>
      </c>
      <c r="D73" s="263">
        <f t="shared" si="90"/>
        <v>12740.500000000002</v>
      </c>
      <c r="E73" s="263">
        <f t="shared" si="90"/>
        <v>13374.599999999999</v>
      </c>
      <c r="F73" s="262">
        <f t="shared" si="90"/>
        <v>14847.1</v>
      </c>
      <c r="G73" s="263">
        <f t="shared" si="90"/>
        <v>16219.1</v>
      </c>
      <c r="H73" s="263">
        <f t="shared" si="90"/>
        <v>18175.9</v>
      </c>
      <c r="I73" s="264">
        <f t="shared" si="90"/>
        <v>19872.3</v>
      </c>
      <c r="J73" s="262">
        <f t="shared" si="90"/>
        <v>21133</v>
      </c>
      <c r="K73" s="263">
        <f t="shared" si="90"/>
        <v>21306.3</v>
      </c>
      <c r="L73" s="263">
        <f t="shared" si="90"/>
        <v>21405.799999999996</v>
      </c>
      <c r="M73" s="264">
        <f t="shared" si="90"/>
        <v>21370.2</v>
      </c>
      <c r="N73" s="262">
        <f t="shared" si="90"/>
        <v>21705.399999999998</v>
      </c>
      <c r="O73" s="263">
        <f t="shared" si="90"/>
        <v>22864.8</v>
      </c>
      <c r="P73" s="263">
        <f t="shared" si="90"/>
        <v>24292.4</v>
      </c>
      <c r="Q73" s="264">
        <f t="shared" si="90"/>
        <v>25223.8</v>
      </c>
      <c r="R73" s="262">
        <f t="shared" si="90"/>
        <v>26088.6</v>
      </c>
      <c r="S73" s="263">
        <f t="shared" si="90"/>
        <v>27686.6</v>
      </c>
      <c r="T73" s="263">
        <f t="shared" si="90"/>
        <v>29593.499999999996</v>
      </c>
      <c r="U73" s="264">
        <f t="shared" si="90"/>
        <v>31635.8</v>
      </c>
      <c r="V73" s="262">
        <f t="shared" si="90"/>
        <v>38737.6</v>
      </c>
      <c r="W73" s="263">
        <f t="shared" si="90"/>
        <v>39331.9</v>
      </c>
      <c r="X73" s="263">
        <f t="shared" si="90"/>
        <v>40103.6</v>
      </c>
      <c r="Y73" s="264">
        <f t="shared" si="90"/>
        <v>39645</v>
      </c>
      <c r="Z73" s="262">
        <f t="shared" si="90"/>
        <v>40060</v>
      </c>
      <c r="AA73" s="263">
        <f t="shared" si="90"/>
        <v>41569.4</v>
      </c>
      <c r="AB73" s="263">
        <f t="shared" si="90"/>
        <v>43262.09999999999</v>
      </c>
      <c r="AC73" s="264">
        <f t="shared" si="90"/>
        <v>43409.09999999999</v>
      </c>
      <c r="AD73" s="262">
        <f aca="true" t="shared" si="91" ref="AD73:AI73">AD60+AD61</f>
        <v>45744.6</v>
      </c>
      <c r="AE73" s="263">
        <f t="shared" si="91"/>
        <v>48332.40000000001</v>
      </c>
      <c r="AF73" s="263">
        <f t="shared" si="91"/>
        <v>51030.6</v>
      </c>
      <c r="AG73" s="264">
        <f t="shared" si="91"/>
        <v>51461.1</v>
      </c>
      <c r="AH73" s="263">
        <f t="shared" si="91"/>
        <v>54115.90000000001</v>
      </c>
      <c r="AI73" s="263">
        <f t="shared" si="91"/>
        <v>58468.7</v>
      </c>
      <c r="AJ73" s="263">
        <f aca="true" t="shared" si="92" ref="AJ73:AQ73">AJ60+AJ61</f>
        <v>61918.399999999994</v>
      </c>
      <c r="AK73" s="264">
        <f t="shared" si="92"/>
        <v>62285.600000000006</v>
      </c>
      <c r="AL73" s="263">
        <f t="shared" si="92"/>
        <v>65329.900000000016</v>
      </c>
      <c r="AM73" s="263">
        <f t="shared" si="92"/>
        <v>68319.40000000001</v>
      </c>
      <c r="AN73" s="263">
        <f t="shared" si="92"/>
        <v>70845.09999999999</v>
      </c>
      <c r="AO73" s="264">
        <f t="shared" si="92"/>
        <v>72306.2</v>
      </c>
      <c r="AP73" s="263">
        <f t="shared" si="92"/>
        <v>74940.8</v>
      </c>
      <c r="AQ73" s="263">
        <f t="shared" si="92"/>
        <v>77554.6</v>
      </c>
    </row>
    <row r="74" spans="1:43" s="4" customFormat="1" ht="12.75">
      <c r="A74" s="318"/>
      <c r="B74" s="39"/>
      <c r="C74" s="40"/>
      <c r="D74" s="40"/>
      <c r="E74" s="40"/>
      <c r="F74" s="39"/>
      <c r="G74" s="40"/>
      <c r="H74" s="40"/>
      <c r="I74" s="41"/>
      <c r="J74" s="39"/>
      <c r="K74" s="40"/>
      <c r="L74" s="40"/>
      <c r="M74" s="41"/>
      <c r="N74" s="39"/>
      <c r="O74" s="40"/>
      <c r="P74" s="40"/>
      <c r="Q74" s="41"/>
      <c r="R74" s="39"/>
      <c r="S74" s="40"/>
      <c r="T74" s="40"/>
      <c r="U74" s="41"/>
      <c r="V74" s="39"/>
      <c r="W74" s="40"/>
      <c r="X74" s="40"/>
      <c r="Y74" s="41"/>
      <c r="Z74" s="39"/>
      <c r="AA74" s="40"/>
      <c r="AB74" s="40"/>
      <c r="AC74" s="41"/>
      <c r="AD74" s="39"/>
      <c r="AE74" s="40"/>
      <c r="AF74" s="40"/>
      <c r="AG74" s="41"/>
      <c r="AH74" s="40"/>
      <c r="AI74" s="40"/>
      <c r="AJ74" s="40"/>
      <c r="AK74" s="41"/>
      <c r="AL74" s="40"/>
      <c r="AM74" s="40"/>
      <c r="AN74" s="40"/>
      <c r="AO74" s="41"/>
      <c r="AP74" s="40"/>
      <c r="AQ74" s="40"/>
    </row>
    <row r="75" spans="1:43" s="317" customFormat="1" ht="12">
      <c r="A75" s="194" t="s">
        <v>138</v>
      </c>
      <c r="B75" s="195"/>
      <c r="C75" s="196"/>
      <c r="D75" s="196"/>
      <c r="E75" s="196"/>
      <c r="F75" s="195"/>
      <c r="G75" s="196"/>
      <c r="H75" s="196"/>
      <c r="I75" s="197"/>
      <c r="J75" s="195"/>
      <c r="K75" s="196"/>
      <c r="L75" s="196"/>
      <c r="M75" s="197"/>
      <c r="N75" s="195"/>
      <c r="O75" s="196"/>
      <c r="P75" s="196"/>
      <c r="Q75" s="197"/>
      <c r="R75" s="195"/>
      <c r="S75" s="196"/>
      <c r="T75" s="196"/>
      <c r="U75" s="197"/>
      <c r="V75" s="195"/>
      <c r="W75" s="196"/>
      <c r="X75" s="196"/>
      <c r="Y75" s="197"/>
      <c r="Z75" s="195"/>
      <c r="AA75" s="196"/>
      <c r="AB75" s="196"/>
      <c r="AC75" s="197"/>
      <c r="AD75" s="195"/>
      <c r="AE75" s="196"/>
      <c r="AF75" s="196"/>
      <c r="AG75" s="197"/>
      <c r="AH75" s="196"/>
      <c r="AI75" s="196"/>
      <c r="AJ75" s="196"/>
      <c r="AK75" s="197"/>
      <c r="AL75" s="196"/>
      <c r="AM75" s="196"/>
      <c r="AN75" s="196"/>
      <c r="AO75" s="197"/>
      <c r="AP75" s="196"/>
      <c r="AQ75" s="196"/>
    </row>
    <row r="76" spans="1:43" s="4" customFormat="1" ht="12.75">
      <c r="A76" s="38"/>
      <c r="B76" s="39"/>
      <c r="C76" s="40"/>
      <c r="D76" s="40"/>
      <c r="E76" s="40"/>
      <c r="F76" s="39"/>
      <c r="G76" s="40"/>
      <c r="H76" s="40"/>
      <c r="I76" s="41"/>
      <c r="J76" s="39"/>
      <c r="K76" s="40"/>
      <c r="L76" s="40"/>
      <c r="M76" s="41"/>
      <c r="N76" s="39"/>
      <c r="O76" s="40"/>
      <c r="P76" s="40"/>
      <c r="Q76" s="41"/>
      <c r="R76" s="39"/>
      <c r="S76" s="40"/>
      <c r="T76" s="40"/>
      <c r="U76" s="41"/>
      <c r="V76" s="39"/>
      <c r="W76" s="40"/>
      <c r="X76" s="40"/>
      <c r="Y76" s="41"/>
      <c r="Z76" s="39"/>
      <c r="AA76" s="40"/>
      <c r="AB76" s="40"/>
      <c r="AC76" s="41"/>
      <c r="AD76" s="39"/>
      <c r="AE76" s="40"/>
      <c r="AF76" s="40"/>
      <c r="AG76" s="41"/>
      <c r="AH76" s="40"/>
      <c r="AI76" s="40"/>
      <c r="AJ76" s="40"/>
      <c r="AK76" s="41"/>
      <c r="AL76" s="40"/>
      <c r="AM76" s="40"/>
      <c r="AN76" s="40"/>
      <c r="AO76" s="41"/>
      <c r="AP76" s="40"/>
      <c r="AQ76" s="40"/>
    </row>
    <row r="77" spans="1:43" s="4" customFormat="1" ht="12.75">
      <c r="A77" s="38" t="s">
        <v>132</v>
      </c>
      <c r="B77" s="39">
        <f>SUM(B78:B79)</f>
        <v>627.5000000000001</v>
      </c>
      <c r="C77" s="40">
        <f aca="true" t="shared" si="93" ref="C77:W77">SUM(C78:C79)</f>
        <v>604.3000000000001</v>
      </c>
      <c r="D77" s="40">
        <f t="shared" si="93"/>
        <v>612.6</v>
      </c>
      <c r="E77" s="40">
        <f t="shared" si="93"/>
        <v>695.8</v>
      </c>
      <c r="F77" s="39">
        <f t="shared" si="93"/>
        <v>668.8</v>
      </c>
      <c r="G77" s="40">
        <f t="shared" si="93"/>
        <v>672</v>
      </c>
      <c r="H77" s="40">
        <f t="shared" si="93"/>
        <v>684.7</v>
      </c>
      <c r="I77" s="41">
        <f t="shared" si="93"/>
        <v>970.9</v>
      </c>
      <c r="J77" s="39">
        <f t="shared" si="93"/>
        <v>926.8000000000001</v>
      </c>
      <c r="K77" s="40">
        <f t="shared" si="93"/>
        <v>958.9</v>
      </c>
      <c r="L77" s="40">
        <f t="shared" si="93"/>
        <v>1177.4</v>
      </c>
      <c r="M77" s="41">
        <f t="shared" si="93"/>
        <v>2305.3</v>
      </c>
      <c r="N77" s="40">
        <f t="shared" si="93"/>
        <v>2257.1</v>
      </c>
      <c r="O77" s="40">
        <f t="shared" si="93"/>
        <v>2389.1</v>
      </c>
      <c r="P77" s="40">
        <f t="shared" si="93"/>
        <v>2472.9999999999995</v>
      </c>
      <c r="Q77" s="41">
        <f t="shared" si="93"/>
        <v>2816.2</v>
      </c>
      <c r="R77" s="40">
        <f t="shared" si="93"/>
        <v>2785.2000000000003</v>
      </c>
      <c r="S77" s="40">
        <f t="shared" si="93"/>
        <v>2740.2</v>
      </c>
      <c r="T77" s="40">
        <f t="shared" si="93"/>
        <v>2890.7999999999997</v>
      </c>
      <c r="U77" s="41">
        <f t="shared" si="93"/>
        <v>3270.6</v>
      </c>
      <c r="V77" s="40">
        <f t="shared" si="93"/>
        <v>3213.8</v>
      </c>
      <c r="W77" s="40">
        <f t="shared" si="93"/>
        <v>3142.6</v>
      </c>
      <c r="X77" s="40">
        <f aca="true" t="shared" si="94" ref="X77:AC77">SUM(X78:X79)</f>
        <v>3137.3</v>
      </c>
      <c r="Y77" s="41">
        <f t="shared" si="94"/>
        <v>3090.7000000000003</v>
      </c>
      <c r="Z77" s="40">
        <f t="shared" si="94"/>
        <v>3023.5</v>
      </c>
      <c r="AA77" s="40">
        <f t="shared" si="94"/>
        <v>2923.4</v>
      </c>
      <c r="AB77" s="40">
        <f t="shared" si="94"/>
        <v>2792.7</v>
      </c>
      <c r="AC77" s="41">
        <f t="shared" si="94"/>
        <v>2628.3999999999996</v>
      </c>
      <c r="AD77" s="40">
        <f aca="true" t="shared" si="95" ref="AD77:AI77">SUM(AD78:AD79)</f>
        <v>2579.2999999999997</v>
      </c>
      <c r="AE77" s="40">
        <f t="shared" si="95"/>
        <v>2524.6000000000004</v>
      </c>
      <c r="AF77" s="40">
        <f t="shared" si="95"/>
        <v>2518.2999999999997</v>
      </c>
      <c r="AG77" s="41">
        <f t="shared" si="95"/>
        <v>2660.5</v>
      </c>
      <c r="AH77" s="40">
        <f t="shared" si="95"/>
        <v>2612.6000000000004</v>
      </c>
      <c r="AI77" s="40">
        <f t="shared" si="95"/>
        <v>2546.3</v>
      </c>
      <c r="AJ77" s="40">
        <f aca="true" t="shared" si="96" ref="AJ77:AQ77">SUM(AJ78:AJ79)</f>
        <v>2489.2999999999997</v>
      </c>
      <c r="AK77" s="41">
        <f t="shared" si="96"/>
        <v>2569.4</v>
      </c>
      <c r="AL77" s="40">
        <f t="shared" si="96"/>
        <v>2530.7</v>
      </c>
      <c r="AM77" s="40">
        <f t="shared" si="96"/>
        <v>2431.7000000000003</v>
      </c>
      <c r="AN77" s="40">
        <f t="shared" si="96"/>
        <v>2340.3</v>
      </c>
      <c r="AO77" s="41">
        <f t="shared" si="96"/>
        <v>2145.6</v>
      </c>
      <c r="AP77" s="40">
        <f t="shared" si="96"/>
        <v>2100.2</v>
      </c>
      <c r="AQ77" s="40">
        <f t="shared" si="96"/>
        <v>1969.5</v>
      </c>
    </row>
    <row r="78" spans="1:43" s="7" customFormat="1" ht="12.75">
      <c r="A78" s="56" t="s">
        <v>294</v>
      </c>
      <c r="B78" s="57">
        <v>5.4</v>
      </c>
      <c r="C78" s="58">
        <v>10.6</v>
      </c>
      <c r="D78" s="58">
        <v>10.3</v>
      </c>
      <c r="E78" s="58">
        <v>9.9</v>
      </c>
      <c r="F78" s="57">
        <v>12</v>
      </c>
      <c r="G78" s="58">
        <v>16.3</v>
      </c>
      <c r="H78" s="58">
        <v>12.9</v>
      </c>
      <c r="I78" s="59">
        <v>11.9</v>
      </c>
      <c r="J78" s="57">
        <v>7.9</v>
      </c>
      <c r="K78" s="312">
        <f>14.8+0.1</f>
        <v>14.9</v>
      </c>
      <c r="L78" s="312">
        <f>16.8+0.1</f>
        <v>16.900000000000002</v>
      </c>
      <c r="M78" s="314">
        <v>7.5</v>
      </c>
      <c r="N78" s="312">
        <f>36.5+0.1</f>
        <v>36.6</v>
      </c>
      <c r="O78" s="312">
        <v>64</v>
      </c>
      <c r="P78" s="312">
        <f>56+0.2</f>
        <v>56.2</v>
      </c>
      <c r="Q78" s="314">
        <f>8.4+0.1</f>
        <v>8.5</v>
      </c>
      <c r="R78" s="312">
        <f>62.7+0.1</f>
        <v>62.800000000000004</v>
      </c>
      <c r="S78" s="312">
        <f>64.9+0.3</f>
        <v>65.2</v>
      </c>
      <c r="T78" s="312">
        <f>109+0.1</f>
        <v>109.1</v>
      </c>
      <c r="U78" s="314">
        <f>34.7+0.1</f>
        <v>34.800000000000004</v>
      </c>
      <c r="V78" s="312">
        <v>105.3</v>
      </c>
      <c r="W78" s="312">
        <f>114.5+0.1</f>
        <v>114.6</v>
      </c>
      <c r="X78" s="312">
        <f>86.4+0.1</f>
        <v>86.5</v>
      </c>
      <c r="Y78" s="314">
        <f>9.5+0.3</f>
        <v>9.8</v>
      </c>
      <c r="Z78" s="312">
        <f>64+0.2</f>
        <v>64.2</v>
      </c>
      <c r="AA78" s="312">
        <f>100.4+0.1</f>
        <v>100.5</v>
      </c>
      <c r="AB78" s="312">
        <f>132.4+0.1</f>
        <v>132.5</v>
      </c>
      <c r="AC78" s="314">
        <f>32.6+0.1</f>
        <v>32.7</v>
      </c>
      <c r="AD78" s="312">
        <f>86.5+0.1</f>
        <v>86.6</v>
      </c>
      <c r="AE78" s="312">
        <f>108.2+0.1</f>
        <v>108.3</v>
      </c>
      <c r="AF78" s="312">
        <f>93.1+0.1</f>
        <v>93.19999999999999</v>
      </c>
      <c r="AG78" s="314">
        <f>6.7+0.1</f>
        <v>6.8</v>
      </c>
      <c r="AH78" s="58">
        <v>88.8</v>
      </c>
      <c r="AI78" s="58">
        <v>76.4</v>
      </c>
      <c r="AJ78" s="58">
        <v>77.6</v>
      </c>
      <c r="AK78" s="59">
        <v>6.8</v>
      </c>
      <c r="AL78" s="58">
        <v>85.5</v>
      </c>
      <c r="AM78" s="58">
        <v>103.8</v>
      </c>
      <c r="AN78" s="58">
        <v>110.5</v>
      </c>
      <c r="AO78" s="59">
        <v>7.4</v>
      </c>
      <c r="AP78" s="58">
        <v>88.7</v>
      </c>
      <c r="AQ78" s="58">
        <v>79.3</v>
      </c>
    </row>
    <row r="79" spans="1:43" s="7" customFormat="1" ht="12.75">
      <c r="A79" s="56" t="s">
        <v>295</v>
      </c>
      <c r="B79" s="57">
        <f>623.7+1.7-3.3</f>
        <v>622.1000000000001</v>
      </c>
      <c r="C79" s="58">
        <f>593.1+2-1.4</f>
        <v>593.7</v>
      </c>
      <c r="D79" s="58">
        <f>600.5+3.2-1.4</f>
        <v>602.3000000000001</v>
      </c>
      <c r="E79" s="58">
        <f>687.3-1.4</f>
        <v>685.9</v>
      </c>
      <c r="F79" s="57">
        <f>658-1.2</f>
        <v>656.8</v>
      </c>
      <c r="G79" s="58">
        <f>658.7-3</f>
        <v>655.7</v>
      </c>
      <c r="H79" s="58">
        <f>675.2-3.4</f>
        <v>671.8000000000001</v>
      </c>
      <c r="I79" s="59">
        <f>962-3</f>
        <v>959</v>
      </c>
      <c r="J79" s="57">
        <f>921.7-2.8</f>
        <v>918.9000000000001</v>
      </c>
      <c r="K79" s="58">
        <f>944.7-0.7</f>
        <v>944</v>
      </c>
      <c r="L79" s="58">
        <v>1160.5</v>
      </c>
      <c r="M79" s="59">
        <v>2297.8</v>
      </c>
      <c r="N79" s="58">
        <v>2220.5</v>
      </c>
      <c r="O79" s="58">
        <f>2325.7-0.6</f>
        <v>2325.1</v>
      </c>
      <c r="P79" s="58">
        <f>2423.2-6.4</f>
        <v>2416.7999999999997</v>
      </c>
      <c r="Q79" s="59">
        <v>2807.7</v>
      </c>
      <c r="R79" s="58">
        <v>2722.4</v>
      </c>
      <c r="S79" s="58">
        <f>-0.6+2675.6</f>
        <v>2675</v>
      </c>
      <c r="T79" s="58">
        <f>-0.8+2782.5</f>
        <v>2781.7</v>
      </c>
      <c r="U79" s="59">
        <v>3235.7999999999997</v>
      </c>
      <c r="V79" s="58">
        <v>3108.5</v>
      </c>
      <c r="W79" s="58">
        <v>3028</v>
      </c>
      <c r="X79" s="58">
        <v>3050.8</v>
      </c>
      <c r="Y79" s="59">
        <v>3080.9</v>
      </c>
      <c r="Z79" s="58">
        <v>2959.3</v>
      </c>
      <c r="AA79" s="58">
        <v>2822.9</v>
      </c>
      <c r="AB79" s="58">
        <v>2660.2</v>
      </c>
      <c r="AC79" s="59">
        <v>2595.7</v>
      </c>
      <c r="AD79" s="58">
        <v>2492.7</v>
      </c>
      <c r="AE79" s="58">
        <v>2416.3</v>
      </c>
      <c r="AF79" s="58">
        <v>2425.1</v>
      </c>
      <c r="AG79" s="59">
        <v>2653.7</v>
      </c>
      <c r="AH79" s="58">
        <v>2523.8</v>
      </c>
      <c r="AI79" s="58">
        <v>2469.9</v>
      </c>
      <c r="AJ79" s="58">
        <v>2411.7</v>
      </c>
      <c r="AK79" s="59">
        <v>2562.6</v>
      </c>
      <c r="AL79" s="58">
        <v>2445.2</v>
      </c>
      <c r="AM79" s="58">
        <v>2327.9</v>
      </c>
      <c r="AN79" s="58">
        <v>2229.8</v>
      </c>
      <c r="AO79" s="59">
        <v>2138.2</v>
      </c>
      <c r="AP79" s="58">
        <v>2011.5</v>
      </c>
      <c r="AQ79" s="58">
        <v>1890.2</v>
      </c>
    </row>
    <row r="80" spans="1:43" s="4" customFormat="1" ht="12.75">
      <c r="A80" s="38" t="s">
        <v>305</v>
      </c>
      <c r="B80" s="39">
        <v>0</v>
      </c>
      <c r="C80" s="40">
        <v>0</v>
      </c>
      <c r="D80" s="40">
        <v>0</v>
      </c>
      <c r="E80" s="40">
        <v>0</v>
      </c>
      <c r="F80" s="39">
        <v>0</v>
      </c>
      <c r="G80" s="40">
        <v>0</v>
      </c>
      <c r="H80" s="40">
        <v>0</v>
      </c>
      <c r="I80" s="41">
        <v>0</v>
      </c>
      <c r="J80" s="39">
        <v>0</v>
      </c>
      <c r="K80" s="40">
        <v>0</v>
      </c>
      <c r="L80" s="40">
        <v>0</v>
      </c>
      <c r="M80" s="41">
        <v>0</v>
      </c>
      <c r="N80" s="40">
        <v>0</v>
      </c>
      <c r="O80" s="40">
        <v>0</v>
      </c>
      <c r="P80" s="40">
        <v>0</v>
      </c>
      <c r="Q80" s="41">
        <v>0</v>
      </c>
      <c r="R80" s="40">
        <v>0</v>
      </c>
      <c r="S80" s="40">
        <v>0</v>
      </c>
      <c r="T80" s="40">
        <v>0</v>
      </c>
      <c r="U80" s="41">
        <v>0</v>
      </c>
      <c r="V80" s="40">
        <v>177.5</v>
      </c>
      <c r="W80" s="40">
        <v>172.6</v>
      </c>
      <c r="X80" s="40">
        <v>11.1</v>
      </c>
      <c r="Y80" s="41">
        <v>12.6</v>
      </c>
      <c r="Z80" s="40">
        <v>11.9</v>
      </c>
      <c r="AA80" s="40">
        <v>0</v>
      </c>
      <c r="AB80" s="40">
        <v>0</v>
      </c>
      <c r="AC80" s="41">
        <v>0</v>
      </c>
      <c r="AD80" s="40">
        <v>0</v>
      </c>
      <c r="AE80" s="40">
        <v>0</v>
      </c>
      <c r="AF80" s="40">
        <v>0</v>
      </c>
      <c r="AG80" s="41">
        <v>0</v>
      </c>
      <c r="AH80" s="40">
        <v>0.1</v>
      </c>
      <c r="AI80" s="40">
        <v>0</v>
      </c>
      <c r="AJ80" s="40">
        <v>0</v>
      </c>
      <c r="AK80" s="41">
        <v>0</v>
      </c>
      <c r="AL80" s="40">
        <v>0</v>
      </c>
      <c r="AM80" s="40">
        <v>0</v>
      </c>
      <c r="AN80" s="40">
        <v>0</v>
      </c>
      <c r="AO80" s="41">
        <v>0</v>
      </c>
      <c r="AP80" s="40">
        <v>0</v>
      </c>
      <c r="AQ80" s="40">
        <v>0</v>
      </c>
    </row>
    <row r="81" spans="1:43" s="4" customFormat="1" ht="12.75">
      <c r="A81" s="38" t="s">
        <v>306</v>
      </c>
      <c r="B81" s="39">
        <f>3.3</f>
        <v>3.3</v>
      </c>
      <c r="C81" s="40">
        <f>1.4</f>
        <v>1.4</v>
      </c>
      <c r="D81" s="40">
        <f>1.4</f>
        <v>1.4</v>
      </c>
      <c r="E81" s="40">
        <f>1.4</f>
        <v>1.4</v>
      </c>
      <c r="F81" s="39">
        <v>1.2</v>
      </c>
      <c r="G81" s="40">
        <v>3</v>
      </c>
      <c r="H81" s="40">
        <v>3.4</v>
      </c>
      <c r="I81" s="41">
        <v>3</v>
      </c>
      <c r="J81" s="39">
        <v>2.8</v>
      </c>
      <c r="K81" s="40">
        <v>0.7</v>
      </c>
      <c r="L81" s="40">
        <v>0</v>
      </c>
      <c r="M81" s="41">
        <v>0</v>
      </c>
      <c r="N81" s="40">
        <v>0</v>
      </c>
      <c r="O81" s="40">
        <v>0.6</v>
      </c>
      <c r="P81" s="40">
        <v>6.4</v>
      </c>
      <c r="Q81" s="41">
        <v>4.4</v>
      </c>
      <c r="R81" s="40">
        <v>4</v>
      </c>
      <c r="S81" s="40">
        <v>0.6</v>
      </c>
      <c r="T81" s="40">
        <v>0.8</v>
      </c>
      <c r="U81" s="41">
        <v>2.3</v>
      </c>
      <c r="V81" s="40">
        <v>5.7</v>
      </c>
      <c r="W81" s="40">
        <v>18.9</v>
      </c>
      <c r="X81" s="40">
        <v>24.400000000000002</v>
      </c>
      <c r="Y81" s="41">
        <v>23.299999999999997</v>
      </c>
      <c r="Z81" s="40">
        <v>11.8</v>
      </c>
      <c r="AA81" s="40">
        <v>11.5</v>
      </c>
      <c r="AB81" s="40">
        <v>11.200000000000001</v>
      </c>
      <c r="AC81" s="41">
        <v>16.6</v>
      </c>
      <c r="AD81" s="40">
        <v>21.700000000000003</v>
      </c>
      <c r="AE81" s="40">
        <v>32.1</v>
      </c>
      <c r="AF81" s="40">
        <v>30.1</v>
      </c>
      <c r="AG81" s="41">
        <v>33.800000000000004</v>
      </c>
      <c r="AH81" s="40">
        <v>41.2</v>
      </c>
      <c r="AI81" s="40">
        <v>39.3</v>
      </c>
      <c r="AJ81" s="40">
        <v>38.800000000000004</v>
      </c>
      <c r="AK81" s="41">
        <v>45</v>
      </c>
      <c r="AL81" s="40">
        <v>51</v>
      </c>
      <c r="AM81" s="40">
        <v>60.800000000000004</v>
      </c>
      <c r="AN81" s="40">
        <v>72</v>
      </c>
      <c r="AO81" s="41">
        <v>84.6</v>
      </c>
      <c r="AP81" s="40">
        <v>95.8</v>
      </c>
      <c r="AQ81" s="40">
        <v>98.9</v>
      </c>
    </row>
    <row r="82" spans="1:43" s="4" customFormat="1" ht="12.75">
      <c r="A82" s="38" t="s">
        <v>347</v>
      </c>
      <c r="B82" s="39">
        <v>0</v>
      </c>
      <c r="C82" s="40">
        <v>0</v>
      </c>
      <c r="D82" s="40">
        <v>0</v>
      </c>
      <c r="E82" s="40">
        <v>0</v>
      </c>
      <c r="F82" s="39">
        <v>0</v>
      </c>
      <c r="G82" s="40">
        <v>0</v>
      </c>
      <c r="H82" s="40">
        <v>0</v>
      </c>
      <c r="I82" s="41">
        <v>81.09999999999991</v>
      </c>
      <c r="J82" s="39">
        <v>82.5</v>
      </c>
      <c r="K82" s="40">
        <v>83.09999999999991</v>
      </c>
      <c r="L82" s="40">
        <v>96.5</v>
      </c>
      <c r="M82" s="41">
        <v>338.9000000000001</v>
      </c>
      <c r="N82" s="40">
        <v>352.0999999999999</v>
      </c>
      <c r="O82" s="40">
        <v>405.2000000000003</v>
      </c>
      <c r="P82" s="40">
        <v>455.0999999999999</v>
      </c>
      <c r="Q82" s="41">
        <v>531.3000000000002</v>
      </c>
      <c r="R82" s="40">
        <v>536.0999999999999</v>
      </c>
      <c r="S82" s="40">
        <v>530.4000000000001</v>
      </c>
      <c r="T82" s="40">
        <v>556.6000000000004</v>
      </c>
      <c r="U82" s="41">
        <v>640.9000000000001</v>
      </c>
      <c r="V82" s="40">
        <v>654.5</v>
      </c>
      <c r="W82" s="40">
        <v>690.8000000000002</v>
      </c>
      <c r="X82" s="40">
        <v>741.5</v>
      </c>
      <c r="Y82" s="41">
        <v>789.4000000000005</v>
      </c>
      <c r="Z82" s="40">
        <v>789.3000000000002</v>
      </c>
      <c r="AA82" s="40">
        <v>752.6999999999998</v>
      </c>
      <c r="AB82" s="40">
        <v>785.7000000000003</v>
      </c>
      <c r="AC82" s="41">
        <v>930.8999999999996</v>
      </c>
      <c r="AD82" s="40">
        <v>958.4</v>
      </c>
      <c r="AE82" s="40">
        <v>974.4</v>
      </c>
      <c r="AF82" s="40">
        <v>1060.3</v>
      </c>
      <c r="AG82" s="41">
        <v>1107.6</v>
      </c>
      <c r="AH82" s="40">
        <v>1129.6</v>
      </c>
      <c r="AI82" s="40">
        <v>1165.8</v>
      </c>
      <c r="AJ82" s="40">
        <v>1169.4</v>
      </c>
      <c r="AK82" s="41">
        <v>1272.5</v>
      </c>
      <c r="AL82" s="40">
        <v>1260</v>
      </c>
      <c r="AM82" s="40">
        <v>1253</v>
      </c>
      <c r="AN82" s="40">
        <v>1233.8</v>
      </c>
      <c r="AO82" s="41">
        <v>1187</v>
      </c>
      <c r="AP82" s="40">
        <v>1184.6</v>
      </c>
      <c r="AQ82" s="40">
        <v>1166.1</v>
      </c>
    </row>
    <row r="83" spans="1:43" s="4" customFormat="1" ht="12.75">
      <c r="A83" s="38" t="s">
        <v>307</v>
      </c>
      <c r="B83" s="39">
        <v>0</v>
      </c>
      <c r="C83" s="40">
        <v>0</v>
      </c>
      <c r="D83" s="40">
        <v>0</v>
      </c>
      <c r="E83" s="40">
        <v>0</v>
      </c>
      <c r="F83" s="39">
        <v>0</v>
      </c>
      <c r="G83" s="40">
        <v>0</v>
      </c>
      <c r="H83" s="40">
        <v>0</v>
      </c>
      <c r="I83" s="41">
        <v>1654</v>
      </c>
      <c r="J83" s="39">
        <v>3775.2</v>
      </c>
      <c r="K83" s="40">
        <v>3439.1</v>
      </c>
      <c r="L83" s="40">
        <v>3348.9</v>
      </c>
      <c r="M83" s="41">
        <v>3261.9</v>
      </c>
      <c r="N83" s="40">
        <v>3147.9</v>
      </c>
      <c r="O83" s="40">
        <v>3447.7</v>
      </c>
      <c r="P83" s="40">
        <v>3425.1</v>
      </c>
      <c r="Q83" s="41">
        <v>3268.5</v>
      </c>
      <c r="R83" s="40">
        <v>3215.6</v>
      </c>
      <c r="S83" s="40">
        <v>3189</v>
      </c>
      <c r="T83" s="40">
        <v>3786.2</v>
      </c>
      <c r="U83" s="41">
        <v>3872.6</v>
      </c>
      <c r="V83" s="40">
        <v>3680.7</v>
      </c>
      <c r="W83" s="40">
        <v>3758.2</v>
      </c>
      <c r="X83" s="40">
        <v>3732.5</v>
      </c>
      <c r="Y83" s="41">
        <v>3779.7</v>
      </c>
      <c r="Z83" s="40">
        <v>3817.7</v>
      </c>
      <c r="AA83" s="40">
        <v>3794.3</v>
      </c>
      <c r="AB83" s="40">
        <v>3723.1</v>
      </c>
      <c r="AC83" s="41">
        <v>3685.8</v>
      </c>
      <c r="AD83" s="40">
        <v>3750.2</v>
      </c>
      <c r="AE83" s="40">
        <v>3723.5</v>
      </c>
      <c r="AF83" s="40">
        <v>3800.5</v>
      </c>
      <c r="AG83" s="41">
        <v>3923.9</v>
      </c>
      <c r="AH83" s="40">
        <v>3750.6</v>
      </c>
      <c r="AI83" s="40">
        <v>3711.2</v>
      </c>
      <c r="AJ83" s="40">
        <v>3793.6</v>
      </c>
      <c r="AK83" s="41">
        <v>3838.6</v>
      </c>
      <c r="AL83" s="40">
        <v>3853.4</v>
      </c>
      <c r="AM83" s="40">
        <v>3909.7</v>
      </c>
      <c r="AN83" s="40">
        <v>3822.7</v>
      </c>
      <c r="AO83" s="41">
        <v>3910.7</v>
      </c>
      <c r="AP83" s="40">
        <v>3686.5</v>
      </c>
      <c r="AQ83" s="40">
        <v>3589.8</v>
      </c>
    </row>
    <row r="84" spans="1:43" s="4" customFormat="1" ht="12.75">
      <c r="A84" s="38" t="s">
        <v>125</v>
      </c>
      <c r="B84" s="39">
        <v>0</v>
      </c>
      <c r="C84" s="40">
        <v>0</v>
      </c>
      <c r="D84" s="40">
        <v>0</v>
      </c>
      <c r="E84" s="40">
        <v>0</v>
      </c>
      <c r="F84" s="39">
        <v>0</v>
      </c>
      <c r="G84" s="40">
        <v>0</v>
      </c>
      <c r="H84" s="40">
        <v>0</v>
      </c>
      <c r="I84" s="41">
        <v>0</v>
      </c>
      <c r="J84" s="39">
        <v>0</v>
      </c>
      <c r="K84" s="313">
        <v>0</v>
      </c>
      <c r="L84" s="313">
        <v>0</v>
      </c>
      <c r="M84" s="315">
        <v>0</v>
      </c>
      <c r="N84" s="313">
        <v>0</v>
      </c>
      <c r="O84" s="313">
        <v>0</v>
      </c>
      <c r="P84" s="313">
        <v>0</v>
      </c>
      <c r="Q84" s="315">
        <v>0</v>
      </c>
      <c r="R84" s="313">
        <v>0</v>
      </c>
      <c r="S84" s="313">
        <v>0</v>
      </c>
      <c r="T84" s="313">
        <v>0</v>
      </c>
      <c r="U84" s="315">
        <v>0</v>
      </c>
      <c r="V84" s="313">
        <v>0</v>
      </c>
      <c r="W84" s="313">
        <v>0</v>
      </c>
      <c r="X84" s="313">
        <v>0</v>
      </c>
      <c r="Y84" s="315">
        <v>0</v>
      </c>
      <c r="Z84" s="313">
        <v>0</v>
      </c>
      <c r="AA84" s="313">
        <v>0</v>
      </c>
      <c r="AB84" s="313">
        <v>0</v>
      </c>
      <c r="AC84" s="315">
        <v>0</v>
      </c>
      <c r="AD84" s="313">
        <v>0</v>
      </c>
      <c r="AE84" s="313">
        <v>0</v>
      </c>
      <c r="AF84" s="313">
        <v>0</v>
      </c>
      <c r="AG84" s="315">
        <v>0</v>
      </c>
      <c r="AH84" s="40">
        <v>0</v>
      </c>
      <c r="AI84" s="40">
        <v>0</v>
      </c>
      <c r="AJ84" s="40">
        <v>0</v>
      </c>
      <c r="AK84" s="41">
        <v>0</v>
      </c>
      <c r="AL84" s="40">
        <v>0</v>
      </c>
      <c r="AM84" s="40">
        <v>0</v>
      </c>
      <c r="AN84" s="40">
        <v>0</v>
      </c>
      <c r="AO84" s="41">
        <v>0</v>
      </c>
      <c r="AP84" s="40">
        <v>0</v>
      </c>
      <c r="AQ84" s="40">
        <v>0</v>
      </c>
    </row>
    <row r="85" spans="1:43" s="317" customFormat="1" ht="12">
      <c r="A85" s="10" t="s">
        <v>135</v>
      </c>
      <c r="B85" s="202">
        <f>SUM(B77,B80:B84)</f>
        <v>630.8000000000001</v>
      </c>
      <c r="C85" s="203">
        <f aca="true" t="shared" si="97" ref="C85:AC85">SUM(C77,C80:C84)</f>
        <v>605.7</v>
      </c>
      <c r="D85" s="203">
        <f t="shared" si="97"/>
        <v>614</v>
      </c>
      <c r="E85" s="203">
        <f t="shared" si="97"/>
        <v>697.1999999999999</v>
      </c>
      <c r="F85" s="202">
        <f t="shared" si="97"/>
        <v>670</v>
      </c>
      <c r="G85" s="203">
        <f t="shared" si="97"/>
        <v>675</v>
      </c>
      <c r="H85" s="203">
        <f t="shared" si="97"/>
        <v>688.1</v>
      </c>
      <c r="I85" s="204">
        <f t="shared" si="97"/>
        <v>2709</v>
      </c>
      <c r="J85" s="202">
        <f t="shared" si="97"/>
        <v>4787.3</v>
      </c>
      <c r="K85" s="203">
        <f t="shared" si="97"/>
        <v>4481.799999999999</v>
      </c>
      <c r="L85" s="203">
        <f t="shared" si="97"/>
        <v>4622.8</v>
      </c>
      <c r="M85" s="204">
        <f t="shared" si="97"/>
        <v>5906.1</v>
      </c>
      <c r="N85" s="202">
        <f t="shared" si="97"/>
        <v>5757.1</v>
      </c>
      <c r="O85" s="203">
        <f t="shared" si="97"/>
        <v>6242.6</v>
      </c>
      <c r="P85" s="203">
        <f t="shared" si="97"/>
        <v>6359.599999999999</v>
      </c>
      <c r="Q85" s="204">
        <f t="shared" si="97"/>
        <v>6620.4</v>
      </c>
      <c r="R85" s="202">
        <f t="shared" si="97"/>
        <v>6540.9</v>
      </c>
      <c r="S85" s="203">
        <f t="shared" si="97"/>
        <v>6460.2</v>
      </c>
      <c r="T85" s="203">
        <f t="shared" si="97"/>
        <v>7234.4</v>
      </c>
      <c r="U85" s="204">
        <f t="shared" si="97"/>
        <v>7786.4</v>
      </c>
      <c r="V85" s="202">
        <f t="shared" si="97"/>
        <v>7732.2</v>
      </c>
      <c r="W85" s="203">
        <f t="shared" si="97"/>
        <v>7783.1</v>
      </c>
      <c r="X85" s="203">
        <f t="shared" si="97"/>
        <v>7646.8</v>
      </c>
      <c r="Y85" s="204">
        <f t="shared" si="97"/>
        <v>7695.700000000001</v>
      </c>
      <c r="Z85" s="202">
        <f t="shared" si="97"/>
        <v>7654.200000000001</v>
      </c>
      <c r="AA85" s="203">
        <f t="shared" si="97"/>
        <v>7481.9</v>
      </c>
      <c r="AB85" s="203">
        <f t="shared" si="97"/>
        <v>7312.7</v>
      </c>
      <c r="AC85" s="204">
        <f t="shared" si="97"/>
        <v>7261.699999999999</v>
      </c>
      <c r="AD85" s="203">
        <f aca="true" t="shared" si="98" ref="AD85:AI85">SUM(AD77,AD80:AD84)</f>
        <v>7309.599999999999</v>
      </c>
      <c r="AE85" s="203">
        <f t="shared" si="98"/>
        <v>7254.6</v>
      </c>
      <c r="AF85" s="203">
        <f t="shared" si="98"/>
        <v>7409.2</v>
      </c>
      <c r="AG85" s="204">
        <f t="shared" si="98"/>
        <v>7725.8</v>
      </c>
      <c r="AH85" s="203">
        <f t="shared" si="98"/>
        <v>7534.1</v>
      </c>
      <c r="AI85" s="203">
        <f t="shared" si="98"/>
        <v>7462.6</v>
      </c>
      <c r="AJ85" s="203">
        <f aca="true" t="shared" si="99" ref="AJ85:AQ85">SUM(AJ77,AJ80:AJ84)</f>
        <v>7491.1</v>
      </c>
      <c r="AK85" s="204">
        <f t="shared" si="99"/>
        <v>7725.5</v>
      </c>
      <c r="AL85" s="203">
        <f t="shared" si="99"/>
        <v>7695.1</v>
      </c>
      <c r="AM85" s="203">
        <f t="shared" si="99"/>
        <v>7655.200000000001</v>
      </c>
      <c r="AN85" s="203">
        <f t="shared" si="99"/>
        <v>7468.8</v>
      </c>
      <c r="AO85" s="204">
        <f t="shared" si="99"/>
        <v>7327.9</v>
      </c>
      <c r="AP85" s="203">
        <f t="shared" si="99"/>
        <v>7067.1</v>
      </c>
      <c r="AQ85" s="203">
        <f t="shared" si="99"/>
        <v>6824.3</v>
      </c>
    </row>
    <row r="86" spans="1:43" s="4" customFormat="1" ht="12.75">
      <c r="A86" s="38" t="s">
        <v>127</v>
      </c>
      <c r="B86" s="39">
        <f>SUM(B87:B90)</f>
        <v>-34.7</v>
      </c>
      <c r="C86" s="40">
        <f aca="true" t="shared" si="100" ref="C86:AH86">SUM(C87:C90)</f>
        <v>-32.6</v>
      </c>
      <c r="D86" s="40">
        <f t="shared" si="100"/>
        <v>-30.8</v>
      </c>
      <c r="E86" s="40">
        <f t="shared" si="100"/>
        <v>-29.5</v>
      </c>
      <c r="F86" s="39">
        <f t="shared" si="100"/>
        <v>-28.4</v>
      </c>
      <c r="G86" s="40">
        <f t="shared" si="100"/>
        <v>-26.9</v>
      </c>
      <c r="H86" s="40">
        <f t="shared" si="100"/>
        <v>-17.2</v>
      </c>
      <c r="I86" s="41">
        <f t="shared" si="100"/>
        <v>-17.9</v>
      </c>
      <c r="J86" s="39">
        <f t="shared" si="100"/>
        <v>-17.2</v>
      </c>
      <c r="K86" s="40">
        <f t="shared" si="100"/>
        <v>-7.5</v>
      </c>
      <c r="L86" s="40">
        <f t="shared" si="100"/>
        <v>-2.9</v>
      </c>
      <c r="M86" s="41">
        <f t="shared" si="100"/>
        <v>-5.4</v>
      </c>
      <c r="N86" s="39">
        <f t="shared" si="100"/>
        <v>-2.2</v>
      </c>
      <c r="O86" s="40">
        <f t="shared" si="100"/>
        <v>-2.2</v>
      </c>
      <c r="P86" s="40">
        <f t="shared" si="100"/>
        <v>-2.3</v>
      </c>
      <c r="Q86" s="41">
        <f t="shared" si="100"/>
        <v>-1.5</v>
      </c>
      <c r="R86" s="39">
        <f t="shared" si="100"/>
        <v>-1.5</v>
      </c>
      <c r="S86" s="40">
        <f t="shared" si="100"/>
        <v>-1.4</v>
      </c>
      <c r="T86" s="40">
        <f t="shared" si="100"/>
        <v>-1.5</v>
      </c>
      <c r="U86" s="41">
        <f t="shared" si="100"/>
        <v>-1.4</v>
      </c>
      <c r="V86" s="39">
        <f t="shared" si="100"/>
        <v>-1.4</v>
      </c>
      <c r="W86" s="40">
        <f t="shared" si="100"/>
        <v>-1.5</v>
      </c>
      <c r="X86" s="40">
        <f t="shared" si="100"/>
        <v>-0.7999999999999999</v>
      </c>
      <c r="Y86" s="41">
        <f t="shared" si="100"/>
        <v>-0.8</v>
      </c>
      <c r="Z86" s="39">
        <f t="shared" si="100"/>
        <v>-0.8</v>
      </c>
      <c r="AA86" s="40">
        <f t="shared" si="100"/>
        <v>-0.6</v>
      </c>
      <c r="AB86" s="40">
        <f t="shared" si="100"/>
        <v>-0.6</v>
      </c>
      <c r="AC86" s="41">
        <f t="shared" si="100"/>
        <v>-1</v>
      </c>
      <c r="AD86" s="39">
        <f t="shared" si="100"/>
        <v>-1.2</v>
      </c>
      <c r="AE86" s="40">
        <f t="shared" si="100"/>
        <v>-1.2</v>
      </c>
      <c r="AF86" s="40">
        <f t="shared" si="100"/>
        <v>-1.2</v>
      </c>
      <c r="AG86" s="41">
        <f t="shared" si="100"/>
        <v>-1.2</v>
      </c>
      <c r="AH86" s="40">
        <f t="shared" si="100"/>
        <v>-1.7000000000000002</v>
      </c>
      <c r="AI86" s="40">
        <f aca="true" t="shared" si="101" ref="AI86:AQ86">SUM(AI87:AI90)</f>
        <v>-1.5</v>
      </c>
      <c r="AJ86" s="40">
        <f t="shared" si="101"/>
        <v>-1.5</v>
      </c>
      <c r="AK86" s="41">
        <f t="shared" si="101"/>
        <v>-1.5</v>
      </c>
      <c r="AL86" s="40">
        <f t="shared" si="101"/>
        <v>-1.5999999999999999</v>
      </c>
      <c r="AM86" s="40">
        <f t="shared" si="101"/>
        <v>-1.8</v>
      </c>
      <c r="AN86" s="40">
        <f>SUM(AN87:AN90)</f>
        <v>-1.9000000000000001</v>
      </c>
      <c r="AO86" s="41">
        <f t="shared" si="101"/>
        <v>-1.9000000000000001</v>
      </c>
      <c r="AP86" s="40">
        <f t="shared" si="101"/>
        <v>-1.9</v>
      </c>
      <c r="AQ86" s="40">
        <f t="shared" si="101"/>
        <v>-2</v>
      </c>
    </row>
    <row r="87" spans="1:43" s="7" customFormat="1" ht="12.75">
      <c r="A87" s="117" t="s">
        <v>301</v>
      </c>
      <c r="B87" s="57">
        <v>-34.7</v>
      </c>
      <c r="C87" s="58">
        <v>-32.6</v>
      </c>
      <c r="D87" s="58">
        <v>-30.8</v>
      </c>
      <c r="E87" s="58">
        <v>-29.5</v>
      </c>
      <c r="F87" s="57">
        <v>-28.4</v>
      </c>
      <c r="G87" s="58">
        <v>-26.9</v>
      </c>
      <c r="H87" s="58">
        <v>-17.2</v>
      </c>
      <c r="I87" s="59">
        <v>-17.9</v>
      </c>
      <c r="J87" s="57">
        <v>-17.2</v>
      </c>
      <c r="K87" s="58">
        <v>-7.5</v>
      </c>
      <c r="L87" s="58">
        <v>-2.9</v>
      </c>
      <c r="M87" s="59">
        <v>-5.4</v>
      </c>
      <c r="N87" s="57">
        <v>-2.2</v>
      </c>
      <c r="O87" s="58">
        <v>-2.2</v>
      </c>
      <c r="P87" s="58">
        <v>-2.3</v>
      </c>
      <c r="Q87" s="59">
        <v>-1.5</v>
      </c>
      <c r="R87" s="57">
        <v>-1.5</v>
      </c>
      <c r="S87" s="58">
        <v>-1.4</v>
      </c>
      <c r="T87" s="58">
        <v>-1.5</v>
      </c>
      <c r="U87" s="59">
        <v>-1.4</v>
      </c>
      <c r="V87" s="57">
        <v>-1.4</v>
      </c>
      <c r="W87" s="58">
        <v>-1.5</v>
      </c>
      <c r="X87" s="58">
        <v>-0.7</v>
      </c>
      <c r="Y87" s="59">
        <v>-0.8</v>
      </c>
      <c r="Z87" s="57">
        <v>-0.8</v>
      </c>
      <c r="AA87" s="58">
        <v>-0.5</v>
      </c>
      <c r="AB87" s="58">
        <v>-0.5</v>
      </c>
      <c r="AC87" s="59">
        <v>-0.6</v>
      </c>
      <c r="AD87" s="57">
        <v>-0.7999999999999999</v>
      </c>
      <c r="AE87" s="58">
        <v>-0.7999999999999999</v>
      </c>
      <c r="AF87" s="58">
        <v>-0.7999999999999999</v>
      </c>
      <c r="AG87" s="59">
        <v>-0.7</v>
      </c>
      <c r="AH87" s="58">
        <v>-1.1</v>
      </c>
      <c r="AI87" s="58">
        <v>-0.9</v>
      </c>
      <c r="AJ87" s="58">
        <v>-0.8</v>
      </c>
      <c r="AK87" s="59">
        <v>-0.7</v>
      </c>
      <c r="AL87" s="58">
        <v>-0.7</v>
      </c>
      <c r="AM87" s="58">
        <v>-0.8</v>
      </c>
      <c r="AN87" s="58">
        <v>-0.8</v>
      </c>
      <c r="AO87" s="59">
        <v>-0.8</v>
      </c>
      <c r="AP87" s="58">
        <v>-0.7</v>
      </c>
      <c r="AQ87" s="58">
        <v>-0.8</v>
      </c>
    </row>
    <row r="88" spans="1:43" s="7" customFormat="1" ht="12.75">
      <c r="A88" s="56" t="s">
        <v>303</v>
      </c>
      <c r="B88" s="57">
        <v>0</v>
      </c>
      <c r="C88" s="58">
        <v>0</v>
      </c>
      <c r="D88" s="58">
        <v>0</v>
      </c>
      <c r="E88" s="58">
        <v>0</v>
      </c>
      <c r="F88" s="57">
        <v>0</v>
      </c>
      <c r="G88" s="58">
        <v>0</v>
      </c>
      <c r="H88" s="58">
        <v>0</v>
      </c>
      <c r="I88" s="59">
        <v>0</v>
      </c>
      <c r="J88" s="57">
        <v>0</v>
      </c>
      <c r="K88" s="58">
        <v>0</v>
      </c>
      <c r="L88" s="58">
        <v>0</v>
      </c>
      <c r="M88" s="59">
        <v>0</v>
      </c>
      <c r="N88" s="57">
        <v>0</v>
      </c>
      <c r="O88" s="58">
        <v>0</v>
      </c>
      <c r="P88" s="58">
        <v>0</v>
      </c>
      <c r="Q88" s="59">
        <v>0</v>
      </c>
      <c r="R88" s="57">
        <v>0</v>
      </c>
      <c r="S88" s="58">
        <v>0</v>
      </c>
      <c r="T88" s="58">
        <v>0</v>
      </c>
      <c r="U88" s="59">
        <v>0</v>
      </c>
      <c r="V88" s="57">
        <v>0</v>
      </c>
      <c r="W88" s="58">
        <v>0</v>
      </c>
      <c r="X88" s="58">
        <v>-0.1</v>
      </c>
      <c r="Y88" s="59">
        <v>0</v>
      </c>
      <c r="Z88" s="57">
        <v>0</v>
      </c>
      <c r="AA88" s="58">
        <v>0</v>
      </c>
      <c r="AB88" s="58">
        <v>0</v>
      </c>
      <c r="AC88" s="59">
        <v>0</v>
      </c>
      <c r="AD88" s="57">
        <v>0</v>
      </c>
      <c r="AE88" s="58">
        <v>0</v>
      </c>
      <c r="AF88" s="58">
        <v>0</v>
      </c>
      <c r="AG88" s="59">
        <v>0</v>
      </c>
      <c r="AH88" s="58">
        <v>0</v>
      </c>
      <c r="AI88" s="58">
        <v>0</v>
      </c>
      <c r="AJ88" s="58">
        <v>0</v>
      </c>
      <c r="AK88" s="59">
        <v>0</v>
      </c>
      <c r="AL88" s="58">
        <v>0</v>
      </c>
      <c r="AM88" s="58">
        <v>0</v>
      </c>
      <c r="AN88" s="58">
        <v>0</v>
      </c>
      <c r="AO88" s="59">
        <v>0</v>
      </c>
      <c r="AP88" s="58">
        <v>-0.1</v>
      </c>
      <c r="AQ88" s="58">
        <v>-0.1</v>
      </c>
    </row>
    <row r="89" spans="1:43" s="7" customFormat="1" ht="12.75">
      <c r="A89" s="56" t="s">
        <v>348</v>
      </c>
      <c r="B89" s="57">
        <v>0</v>
      </c>
      <c r="C89" s="58">
        <v>0</v>
      </c>
      <c r="D89" s="58">
        <v>0</v>
      </c>
      <c r="E89" s="58">
        <v>0</v>
      </c>
      <c r="F89" s="57">
        <v>0</v>
      </c>
      <c r="G89" s="58">
        <v>0</v>
      </c>
      <c r="H89" s="58">
        <v>0</v>
      </c>
      <c r="I89" s="59">
        <v>0</v>
      </c>
      <c r="J89" s="57">
        <v>0</v>
      </c>
      <c r="K89" s="58">
        <v>0</v>
      </c>
      <c r="L89" s="58">
        <v>0</v>
      </c>
      <c r="M89" s="59">
        <v>0</v>
      </c>
      <c r="N89" s="57">
        <v>0</v>
      </c>
      <c r="O89" s="58">
        <v>0</v>
      </c>
      <c r="P89" s="58">
        <v>0</v>
      </c>
      <c r="Q89" s="59">
        <v>0</v>
      </c>
      <c r="R89" s="57">
        <v>0</v>
      </c>
      <c r="S89" s="58">
        <v>0</v>
      </c>
      <c r="T89" s="58">
        <v>0</v>
      </c>
      <c r="U89" s="59">
        <v>0</v>
      </c>
      <c r="V89" s="57">
        <v>0</v>
      </c>
      <c r="W89" s="58">
        <v>0</v>
      </c>
      <c r="X89" s="58">
        <v>0</v>
      </c>
      <c r="Y89" s="59">
        <v>0</v>
      </c>
      <c r="Z89" s="57">
        <v>0</v>
      </c>
      <c r="AA89" s="58">
        <v>0</v>
      </c>
      <c r="AB89" s="58">
        <v>0</v>
      </c>
      <c r="AC89" s="59">
        <v>0</v>
      </c>
      <c r="AD89" s="57">
        <v>0</v>
      </c>
      <c r="AE89" s="58">
        <v>0</v>
      </c>
      <c r="AF89" s="58">
        <v>0</v>
      </c>
      <c r="AG89" s="59">
        <v>0</v>
      </c>
      <c r="AH89" s="58">
        <v>-0.2</v>
      </c>
      <c r="AI89" s="58">
        <v>-0.2</v>
      </c>
      <c r="AJ89" s="58">
        <v>-0.2</v>
      </c>
      <c r="AK89" s="59">
        <v>-0.3</v>
      </c>
      <c r="AL89" s="58">
        <v>-0.19999999999999998</v>
      </c>
      <c r="AM89" s="58">
        <v>-0.3</v>
      </c>
      <c r="AN89" s="58">
        <v>-0.4</v>
      </c>
      <c r="AO89" s="59">
        <v>-0.4</v>
      </c>
      <c r="AP89" s="58">
        <v>-0.4</v>
      </c>
      <c r="AQ89" s="58">
        <v>-0.4</v>
      </c>
    </row>
    <row r="90" spans="1:43" s="7" customFormat="1" ht="12.75">
      <c r="A90" s="56" t="s">
        <v>340</v>
      </c>
      <c r="B90" s="57">
        <v>0</v>
      </c>
      <c r="C90" s="58">
        <v>0</v>
      </c>
      <c r="D90" s="58">
        <v>0</v>
      </c>
      <c r="E90" s="58">
        <v>0</v>
      </c>
      <c r="F90" s="57">
        <v>0</v>
      </c>
      <c r="G90" s="58">
        <v>0</v>
      </c>
      <c r="H90" s="58">
        <v>0</v>
      </c>
      <c r="I90" s="59">
        <v>0</v>
      </c>
      <c r="J90" s="57">
        <v>0</v>
      </c>
      <c r="K90" s="58">
        <v>0</v>
      </c>
      <c r="L90" s="58">
        <v>0</v>
      </c>
      <c r="M90" s="59">
        <v>0</v>
      </c>
      <c r="N90" s="57">
        <v>0</v>
      </c>
      <c r="O90" s="58">
        <v>0</v>
      </c>
      <c r="P90" s="58">
        <v>0</v>
      </c>
      <c r="Q90" s="59">
        <v>0</v>
      </c>
      <c r="R90" s="57">
        <v>0</v>
      </c>
      <c r="S90" s="58">
        <v>0</v>
      </c>
      <c r="T90" s="58">
        <v>0</v>
      </c>
      <c r="U90" s="59">
        <v>0</v>
      </c>
      <c r="V90" s="57">
        <v>0</v>
      </c>
      <c r="W90" s="58">
        <v>0</v>
      </c>
      <c r="X90" s="58">
        <v>0</v>
      </c>
      <c r="Y90" s="59">
        <v>0</v>
      </c>
      <c r="Z90" s="57">
        <v>0</v>
      </c>
      <c r="AA90" s="58">
        <v>-0.1</v>
      </c>
      <c r="AB90" s="58">
        <v>-0.1</v>
      </c>
      <c r="AC90" s="59">
        <v>-0.4</v>
      </c>
      <c r="AD90" s="57">
        <v>-0.4</v>
      </c>
      <c r="AE90" s="58">
        <v>-0.4</v>
      </c>
      <c r="AF90" s="58">
        <v>-0.4</v>
      </c>
      <c r="AG90" s="59">
        <v>-0.5</v>
      </c>
      <c r="AH90" s="58">
        <v>-0.4</v>
      </c>
      <c r="AI90" s="58">
        <v>-0.4</v>
      </c>
      <c r="AJ90" s="58">
        <v>-0.5</v>
      </c>
      <c r="AK90" s="59">
        <v>-0.5</v>
      </c>
      <c r="AL90" s="58">
        <v>-0.7</v>
      </c>
      <c r="AM90" s="58">
        <v>-0.7</v>
      </c>
      <c r="AN90" s="58">
        <v>-0.7</v>
      </c>
      <c r="AO90" s="59">
        <v>-0.7</v>
      </c>
      <c r="AP90" s="58">
        <v>-0.7</v>
      </c>
      <c r="AQ90" s="58">
        <v>-0.7</v>
      </c>
    </row>
    <row r="91" spans="1:43" s="13" customFormat="1" ht="18" customHeight="1">
      <c r="A91" s="98" t="s">
        <v>136</v>
      </c>
      <c r="B91" s="93">
        <f>B85+B86</f>
        <v>596.1</v>
      </c>
      <c r="C91" s="94">
        <f aca="true" t="shared" si="102" ref="C91:W91">C85+C86</f>
        <v>573.1</v>
      </c>
      <c r="D91" s="94">
        <f t="shared" si="102"/>
        <v>583.2</v>
      </c>
      <c r="E91" s="94">
        <f t="shared" si="102"/>
        <v>667.6999999999999</v>
      </c>
      <c r="F91" s="93">
        <f t="shared" si="102"/>
        <v>641.6</v>
      </c>
      <c r="G91" s="94">
        <f t="shared" si="102"/>
        <v>648.1</v>
      </c>
      <c r="H91" s="94">
        <f t="shared" si="102"/>
        <v>670.9</v>
      </c>
      <c r="I91" s="95">
        <f t="shared" si="102"/>
        <v>2691.1</v>
      </c>
      <c r="J91" s="93">
        <f t="shared" si="102"/>
        <v>4770.1</v>
      </c>
      <c r="K91" s="94">
        <f t="shared" si="102"/>
        <v>4474.299999999999</v>
      </c>
      <c r="L91" s="94">
        <f t="shared" si="102"/>
        <v>4619.900000000001</v>
      </c>
      <c r="M91" s="95">
        <f t="shared" si="102"/>
        <v>5900.700000000001</v>
      </c>
      <c r="N91" s="93">
        <f t="shared" si="102"/>
        <v>5754.900000000001</v>
      </c>
      <c r="O91" s="94">
        <f t="shared" si="102"/>
        <v>6240.400000000001</v>
      </c>
      <c r="P91" s="94">
        <f t="shared" si="102"/>
        <v>6357.299999999999</v>
      </c>
      <c r="Q91" s="95">
        <f t="shared" si="102"/>
        <v>6618.9</v>
      </c>
      <c r="R91" s="93">
        <f t="shared" si="102"/>
        <v>6539.4</v>
      </c>
      <c r="S91" s="94">
        <f t="shared" si="102"/>
        <v>6458.8</v>
      </c>
      <c r="T91" s="94">
        <f t="shared" si="102"/>
        <v>7232.9</v>
      </c>
      <c r="U91" s="95">
        <f t="shared" si="102"/>
        <v>7785</v>
      </c>
      <c r="V91" s="93">
        <f t="shared" si="102"/>
        <v>7730.8</v>
      </c>
      <c r="W91" s="94">
        <f t="shared" si="102"/>
        <v>7781.6</v>
      </c>
      <c r="X91" s="94">
        <f aca="true" t="shared" si="103" ref="X91:AC91">X85+X86</f>
        <v>7646</v>
      </c>
      <c r="Y91" s="95">
        <f t="shared" si="103"/>
        <v>7694.900000000001</v>
      </c>
      <c r="Z91" s="93">
        <f t="shared" si="103"/>
        <v>7653.400000000001</v>
      </c>
      <c r="AA91" s="94">
        <f t="shared" si="103"/>
        <v>7481.299999999999</v>
      </c>
      <c r="AB91" s="94">
        <f t="shared" si="103"/>
        <v>7312.099999999999</v>
      </c>
      <c r="AC91" s="95">
        <f t="shared" si="103"/>
        <v>7260.699999999999</v>
      </c>
      <c r="AD91" s="93">
        <f aca="true" t="shared" si="104" ref="AD91:AI91">AD85+AD86</f>
        <v>7308.4</v>
      </c>
      <c r="AE91" s="94">
        <f t="shared" si="104"/>
        <v>7253.400000000001</v>
      </c>
      <c r="AF91" s="94">
        <f t="shared" si="104"/>
        <v>7408</v>
      </c>
      <c r="AG91" s="95">
        <f t="shared" si="104"/>
        <v>7724.6</v>
      </c>
      <c r="AH91" s="94">
        <f t="shared" si="104"/>
        <v>7532.400000000001</v>
      </c>
      <c r="AI91" s="94">
        <f t="shared" si="104"/>
        <v>7461.1</v>
      </c>
      <c r="AJ91" s="94">
        <f aca="true" t="shared" si="105" ref="AJ91:AQ91">AJ85+AJ86</f>
        <v>7489.6</v>
      </c>
      <c r="AK91" s="95">
        <f t="shared" si="105"/>
        <v>7724</v>
      </c>
      <c r="AL91" s="94">
        <f t="shared" si="105"/>
        <v>7693.5</v>
      </c>
      <c r="AM91" s="94">
        <f t="shared" si="105"/>
        <v>7653.400000000001</v>
      </c>
      <c r="AN91" s="94">
        <f t="shared" si="105"/>
        <v>7466.900000000001</v>
      </c>
      <c r="AO91" s="95">
        <f t="shared" si="105"/>
        <v>7326</v>
      </c>
      <c r="AP91" s="94">
        <f t="shared" si="105"/>
        <v>7065.200000000001</v>
      </c>
      <c r="AQ91" s="94">
        <f t="shared" si="105"/>
        <v>6822.3</v>
      </c>
    </row>
    <row r="96" spans="2:42" ht="12.75">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2:42" ht="12.7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sheetData>
  <sheetProtection/>
  <mergeCells count="12">
    <mergeCell ref="A2:A3"/>
    <mergeCell ref="B2:E2"/>
    <mergeCell ref="F2:I2"/>
    <mergeCell ref="J2:M2"/>
    <mergeCell ref="AH2:AK2"/>
    <mergeCell ref="N2:Q2"/>
    <mergeCell ref="AD2:AG2"/>
    <mergeCell ref="AP2:AQ2"/>
    <mergeCell ref="Z2:AC2"/>
    <mergeCell ref="V2:Y2"/>
    <mergeCell ref="R2:U2"/>
    <mergeCell ref="AL2:AO2"/>
  </mergeCells>
  <printOptions horizontalCentered="1"/>
  <pageMargins left="0.25" right="0.25" top="0.75" bottom="0.75" header="0.3" footer="0.3"/>
  <pageSetup horizontalDpi="600" verticalDpi="600" orientation="landscape" paperSize="9" scale="36" r:id="rId1"/>
  <headerFooter alignWithMargins="0">
    <oddHeader>&amp;C&amp;"Times New Roman,Kursywa"&amp;12
</oddHeader>
  </headerFooter>
  <ignoredErrors>
    <ignoredError sqref="C30:D34 C36:D36 C38:D42 E38:Y42 E36:Y36 E30:Y34 E37:AC37 Z30:AC34 Z36:AC36 E43:AC62 Z38:AC42 AD80:AD83 AD64:AD65 AD30 AD38:AD41 AE5 AD69:AD72 AD74:AD77 AD36 AD43:AD62 E91:AC91 E70:AA70 AC70 AE36:AE39 AE91:AE95 AD67 E67:AC69 E66:AB66 AE64:AE65 E64:AC65 E63:AB63 AF91:AG96 AE67:AE77 E71:AC77 E87:Z88 AH91 AE41:AE62 AE30:AE34 AD32:AD34 AD79 AE79:AE83 E79:AC83 E78:J78 AD85 AE85 E85:AC85 E84:J84 AF85:AG85 AF79:AG83 AF30:AG34 AH30:AH34 AH41:AH86 AF41:AG77 AH36:AH39 AF36:AG39 AF35:AK35 AF40:AK40 AI36:AK36 AF87:AK90 AI41:AK77 AF78:AG78 AI78:AK86 AI30:AK34 AF84:AG84 AF86:AG86 AI38:AK39 AI37:AJ37"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